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20490" windowHeight="7620"/>
  </bookViews>
  <sheets>
    <sheet name="GEOX boots" sheetId="7" r:id="rId1"/>
    <sheet name="GEOX 1" sheetId="8" r:id="rId2"/>
  </sheets>
  <definedNames>
    <definedName name="_xlnm._FilterDatabase" localSheetId="1" hidden="1">'GEOX 1'!$A$3:$Y$20</definedName>
    <definedName name="_xlnm.Print_Titles" localSheetId="1">'GEOX 1'!$3:$3</definedName>
  </definedNames>
  <calcPr calcId="162913"/>
</workbook>
</file>

<file path=xl/calcChain.xml><?xml version="1.0" encoding="utf-8"?>
<calcChain xmlns="http://schemas.openxmlformats.org/spreadsheetml/2006/main">
  <c r="L20" i="8" l="1"/>
  <c r="J20" i="8"/>
  <c r="H20" i="8"/>
  <c r="M19" i="8"/>
  <c r="K19" i="8"/>
  <c r="I19" i="8"/>
  <c r="G19" i="8"/>
  <c r="P19" i="8" s="1"/>
  <c r="O18" i="8"/>
  <c r="I18" i="8"/>
  <c r="G18" i="8"/>
  <c r="P18" i="8" s="1"/>
  <c r="P17" i="8"/>
  <c r="O17" i="8"/>
  <c r="P16" i="8"/>
  <c r="P15" i="8"/>
  <c r="N14" i="8"/>
  <c r="M14" i="8"/>
  <c r="K14" i="8"/>
  <c r="I14" i="8"/>
  <c r="G14" i="8"/>
  <c r="G20" i="8" s="1"/>
  <c r="N13" i="8"/>
  <c r="K13" i="8"/>
  <c r="P13" i="8" s="1"/>
  <c r="O12" i="8"/>
  <c r="O20" i="8" s="1"/>
  <c r="N12" i="8"/>
  <c r="M12" i="8"/>
  <c r="M20" i="8" s="1"/>
  <c r="K12" i="8"/>
  <c r="K20" i="8" s="1"/>
  <c r="I12" i="8"/>
  <c r="I20" i="8" s="1"/>
  <c r="F12" i="8"/>
  <c r="F20" i="8" s="1"/>
  <c r="P11" i="8"/>
  <c r="P10" i="8"/>
  <c r="E9" i="8"/>
  <c r="E20" i="8" s="1"/>
  <c r="P8" i="8"/>
  <c r="P7" i="8"/>
  <c r="N6" i="8"/>
  <c r="N20" i="8" s="1"/>
  <c r="P5" i="8"/>
  <c r="P4" i="8"/>
  <c r="P6" i="8" l="1"/>
  <c r="P9" i="8"/>
  <c r="P20" i="8" s="1"/>
  <c r="P14" i="8"/>
  <c r="P12" i="8"/>
  <c r="H64" i="7" l="1"/>
  <c r="Q64" i="7" s="1"/>
  <c r="H63" i="7"/>
  <c r="Q63" i="7" s="1"/>
  <c r="H62" i="7"/>
  <c r="Q62" i="7" s="1"/>
  <c r="H61" i="7"/>
  <c r="Q61" i="7" s="1"/>
  <c r="P60" i="7"/>
  <c r="N60" i="7"/>
  <c r="L60" i="7"/>
  <c r="J60" i="7"/>
  <c r="H60" i="7"/>
  <c r="F60" i="7"/>
  <c r="E60" i="7"/>
  <c r="D60" i="7"/>
  <c r="P59" i="7"/>
  <c r="N59" i="7"/>
  <c r="L59" i="7"/>
  <c r="J59" i="7"/>
  <c r="H59" i="7"/>
  <c r="F59" i="7"/>
  <c r="E59" i="7"/>
  <c r="D59" i="7"/>
  <c r="P58" i="7"/>
  <c r="N58" i="7"/>
  <c r="L58" i="7"/>
  <c r="J58" i="7"/>
  <c r="H58" i="7"/>
  <c r="F58" i="7"/>
  <c r="E58" i="7"/>
  <c r="D58" i="7"/>
  <c r="P57" i="7"/>
  <c r="N57" i="7"/>
  <c r="L57" i="7"/>
  <c r="J57" i="7"/>
  <c r="H57" i="7"/>
  <c r="F57" i="7"/>
  <c r="E57" i="7"/>
  <c r="D57" i="7"/>
  <c r="N56" i="7"/>
  <c r="J56" i="7"/>
  <c r="E56" i="7"/>
  <c r="N55" i="7"/>
  <c r="J55" i="7"/>
  <c r="E55" i="7"/>
  <c r="N54" i="7"/>
  <c r="J54" i="7"/>
  <c r="E54" i="7"/>
  <c r="P53" i="7"/>
  <c r="N53" i="7"/>
  <c r="L53" i="7"/>
  <c r="J53" i="7"/>
  <c r="H53" i="7"/>
  <c r="F53" i="7"/>
  <c r="E53" i="7"/>
  <c r="D53" i="7"/>
  <c r="Q52" i="7"/>
  <c r="Q51" i="7"/>
  <c r="Q50" i="7"/>
  <c r="P49" i="7"/>
  <c r="N49" i="7"/>
  <c r="L49" i="7"/>
  <c r="J49" i="7"/>
  <c r="H49" i="7"/>
  <c r="F49" i="7"/>
  <c r="E49" i="7"/>
  <c r="D49" i="7"/>
  <c r="G48" i="7"/>
  <c r="D48" i="7"/>
  <c r="G47" i="7"/>
  <c r="D47" i="7"/>
  <c r="G46" i="7"/>
  <c r="D46" i="7"/>
  <c r="G45" i="7"/>
  <c r="D45" i="7"/>
  <c r="P44" i="7"/>
  <c r="N44" i="7"/>
  <c r="P43" i="7"/>
  <c r="N43" i="7"/>
  <c r="P42" i="7"/>
  <c r="N42" i="7"/>
  <c r="P41" i="7"/>
  <c r="N41" i="7"/>
  <c r="L41" i="7"/>
  <c r="J41" i="7"/>
  <c r="H41" i="7"/>
  <c r="N40" i="7"/>
  <c r="K40" i="7"/>
  <c r="F40" i="7"/>
  <c r="D40" i="7"/>
  <c r="N39" i="7"/>
  <c r="K39" i="7"/>
  <c r="F39" i="7"/>
  <c r="D39" i="7"/>
  <c r="N38" i="7"/>
  <c r="K38" i="7"/>
  <c r="F38" i="7"/>
  <c r="D38" i="7"/>
  <c r="P37" i="7"/>
  <c r="N37" i="7"/>
  <c r="K37" i="7"/>
  <c r="F37" i="7"/>
  <c r="D37" i="7"/>
  <c r="P33" i="7"/>
  <c r="N33" i="7"/>
  <c r="L33" i="7"/>
  <c r="J33" i="7"/>
  <c r="H33" i="7"/>
  <c r="F33" i="7"/>
  <c r="E33" i="7"/>
  <c r="D33" i="7"/>
  <c r="Q33" i="7" l="1"/>
  <c r="Q41" i="7"/>
  <c r="Q42" i="7"/>
  <c r="Q43" i="7"/>
  <c r="Q44" i="7"/>
  <c r="Q45" i="7"/>
  <c r="Q46" i="7"/>
  <c r="Q47" i="7"/>
  <c r="Q48" i="7"/>
  <c r="Q49" i="7"/>
  <c r="Q53" i="7"/>
  <c r="Q54" i="7"/>
  <c r="Q56" i="7"/>
  <c r="Q57" i="7"/>
  <c r="Q58" i="7"/>
  <c r="Q59" i="7"/>
  <c r="Q60" i="7"/>
  <c r="Q37" i="7"/>
  <c r="Q38" i="7"/>
  <c r="Q39" i="7"/>
  <c r="Q40" i="7"/>
  <c r="Q55" i="7"/>
  <c r="P15" i="7"/>
  <c r="N15" i="7"/>
  <c r="L15" i="7"/>
  <c r="J15" i="7"/>
  <c r="H15" i="7"/>
  <c r="E15" i="7"/>
  <c r="L14" i="7"/>
  <c r="J14" i="7"/>
  <c r="H14" i="7"/>
  <c r="P13" i="7"/>
  <c r="N13" i="7"/>
  <c r="L13" i="7"/>
  <c r="J13" i="7"/>
  <c r="H13" i="7"/>
  <c r="F13" i="7"/>
  <c r="E13" i="7"/>
  <c r="D13" i="7"/>
  <c r="P12" i="7"/>
  <c r="H12" i="7"/>
  <c r="F12" i="7"/>
  <c r="P11" i="7"/>
  <c r="N11" i="7"/>
  <c r="J11" i="7"/>
  <c r="H11" i="7"/>
  <c r="P10" i="7"/>
  <c r="N10" i="7"/>
  <c r="L10" i="7"/>
  <c r="J10" i="7"/>
  <c r="H10" i="7"/>
  <c r="F10" i="7"/>
  <c r="E10" i="7"/>
  <c r="D10" i="7"/>
  <c r="P9" i="7"/>
  <c r="N9" i="7"/>
  <c r="L9" i="7"/>
  <c r="J9" i="7"/>
  <c r="H9" i="7"/>
  <c r="F9" i="7"/>
  <c r="E9" i="7"/>
  <c r="P8" i="7"/>
  <c r="N8" i="7"/>
  <c r="L8" i="7"/>
  <c r="J8" i="7"/>
  <c r="H8" i="7"/>
  <c r="F8" i="7"/>
  <c r="E8" i="7"/>
  <c r="D8" i="7"/>
  <c r="Q7" i="7"/>
  <c r="Q65" i="7" l="1"/>
  <c r="Q10" i="7"/>
  <c r="Q11" i="7"/>
  <c r="Q12" i="7"/>
  <c r="Q14" i="7"/>
  <c r="Q15" i="7"/>
  <c r="Q8" i="7"/>
  <c r="Q9" i="7"/>
  <c r="Q13" i="7"/>
  <c r="Q16" i="7" l="1"/>
</calcChain>
</file>

<file path=xl/sharedStrings.xml><?xml version="1.0" encoding="utf-8"?>
<sst xmlns="http://schemas.openxmlformats.org/spreadsheetml/2006/main" count="135" uniqueCount="52">
  <si>
    <t>TOTAL</t>
  </si>
  <si>
    <t>COLOR</t>
  </si>
  <si>
    <t>BLACK</t>
  </si>
  <si>
    <t>Total</t>
  </si>
  <si>
    <t xml:space="preserve">ART </t>
  </si>
  <si>
    <t xml:space="preserve">TOTAL </t>
  </si>
  <si>
    <t xml:space="preserve">H.A BROWN </t>
  </si>
  <si>
    <t>U845HA</t>
  </si>
  <si>
    <t>2B-DK.COFFEE</t>
  </si>
  <si>
    <t>U84E2B</t>
  </si>
  <si>
    <t>H.A D K.COFFEE</t>
  </si>
  <si>
    <t>Black</t>
  </si>
  <si>
    <t>U845HC</t>
  </si>
  <si>
    <t>H-F BLACK</t>
  </si>
  <si>
    <t>U845HF</t>
  </si>
  <si>
    <t xml:space="preserve">H-F BROWN </t>
  </si>
  <si>
    <t>U854HF</t>
  </si>
  <si>
    <t xml:space="preserve">2 B- BISCUT </t>
  </si>
  <si>
    <t>D COFFEE</t>
  </si>
  <si>
    <t>U845HD</t>
  </si>
  <si>
    <t>HD -DK COFFEE</t>
  </si>
  <si>
    <t>H.B BISCUIT</t>
  </si>
  <si>
    <t>U845HB</t>
  </si>
  <si>
    <t>2A - DK -COFFEE</t>
  </si>
  <si>
    <t>U94E2A</t>
  </si>
  <si>
    <t>2-A GREY</t>
  </si>
  <si>
    <t>H-B DK GREY</t>
  </si>
  <si>
    <t>H.B -DK BROWN</t>
  </si>
  <si>
    <t>PHOTO</t>
  </si>
  <si>
    <t>RHADALF</t>
  </si>
  <si>
    <t>GEOX - WITHOUT FUR  STOCK DETAILS</t>
  </si>
  <si>
    <t>GEOX - FUR STOCK DETAILS</t>
  </si>
  <si>
    <t>GROUP</t>
  </si>
  <si>
    <t>ARTICLE</t>
  </si>
  <si>
    <t>SIZE RUN</t>
  </si>
  <si>
    <r>
      <t>41</t>
    </r>
    <r>
      <rPr>
        <b/>
        <sz val="12"/>
        <color theme="1"/>
        <rFont val="Calibri"/>
        <family val="2"/>
      </rPr>
      <t>½</t>
    </r>
  </si>
  <si>
    <r>
      <t>42</t>
    </r>
    <r>
      <rPr>
        <b/>
        <sz val="12"/>
        <color theme="1"/>
        <rFont val="Calibri"/>
        <family val="2"/>
      </rPr>
      <t>½</t>
    </r>
  </si>
  <si>
    <r>
      <t>43</t>
    </r>
    <r>
      <rPr>
        <b/>
        <sz val="12"/>
        <color theme="1"/>
        <rFont val="Calibri"/>
        <family val="2"/>
      </rPr>
      <t>½</t>
    </r>
  </si>
  <si>
    <t>TOTAL PARIS</t>
  </si>
  <si>
    <t>NORWOLK</t>
  </si>
  <si>
    <t>DK COFFEE</t>
  </si>
  <si>
    <t>GREY</t>
  </si>
  <si>
    <t>BROWN</t>
  </si>
  <si>
    <t>BISCUIT</t>
  </si>
  <si>
    <t>U948AE</t>
  </si>
  <si>
    <t>BROWNCOTTO</t>
  </si>
  <si>
    <t>JAYLON</t>
  </si>
  <si>
    <t>U84Y7E</t>
  </si>
  <si>
    <t>U94Y7D</t>
  </si>
  <si>
    <t>U94Y7E</t>
  </si>
  <si>
    <t>TOTAL PAIRS</t>
  </si>
  <si>
    <t>Geox STOCK SHOES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</si>
</sst>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]* #,##0.00_-;\-[$€]* #,##0.00_-;_-[$€]* &quot;-&quot;??_-;_-@_-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theme="1"/>
      <name val="Arial"/>
      <family val="2"/>
    </font>
    <font>
      <sz val="11"/>
      <color indexed="8"/>
      <name val="Calibri"/>
      <family val="2"/>
    </font>
    <font>
      <sz val="12"/>
      <name val="新細明體"/>
      <family val="2"/>
      <charset val="136"/>
    </font>
    <font>
      <sz val="8"/>
      <color theme="1"/>
      <name val="Arial"/>
      <family val="2"/>
    </font>
    <font>
      <sz val="10"/>
      <name val="Arial"/>
      <family val="2"/>
    </font>
    <font>
      <sz val="10"/>
      <name val="Arial CE"/>
      <charset val="238"/>
    </font>
    <font>
      <sz val="11"/>
      <color theme="1"/>
      <name val="Czcionka tekstu podstawowego"/>
      <family val="2"/>
      <charset val="238"/>
    </font>
    <font>
      <sz val="11"/>
      <color rgb="FF000000"/>
      <name val="Calibri"/>
      <family val="2"/>
    </font>
    <font>
      <sz val="10"/>
      <color indexed="8"/>
      <name val="MS Sans Serif"/>
      <family val="2"/>
    </font>
    <font>
      <sz val="9"/>
      <color theme="1"/>
      <name val="Calibri"/>
      <family val="2"/>
    </font>
    <font>
      <b/>
      <sz val="10"/>
      <color theme="1"/>
      <name val="Wingdings"/>
      <charset val="2"/>
    </font>
    <font>
      <b/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</borders>
  <cellStyleXfs count="74">
    <xf numFmtId="0" fontId="0" fillId="0" borderId="0"/>
    <xf numFmtId="0" fontId="3" fillId="2" borderId="0"/>
    <xf numFmtId="164" fontId="4" fillId="0" borderId="0" applyFont="0" applyFill="0" applyBorder="0" applyAlignment="0" applyProtection="0"/>
    <xf numFmtId="0" fontId="5" fillId="0" borderId="0">
      <alignment vertical="center"/>
    </xf>
    <xf numFmtId="0" fontId="6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8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3" fillId="0" borderId="0" applyFill="0"/>
  </cellStyleXfs>
  <cellXfs count="56">
    <xf numFmtId="0" fontId="0" fillId="0" borderId="0" xfId="0"/>
    <xf numFmtId="0" fontId="2" fillId="4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9" fillId="0" borderId="0" xfId="0" applyFont="1"/>
    <xf numFmtId="0" fontId="16" fillId="3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0" fillId="0" borderId="0" xfId="0" applyFont="1"/>
    <xf numFmtId="0" fontId="16" fillId="4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24" fillId="0" borderId="1" xfId="0" applyFont="1" applyFill="1" applyBorder="1" applyAlignment="1">
      <alignment horizontal="center" vertical="center"/>
    </xf>
    <xf numFmtId="0" fontId="0" fillId="0" borderId="1" xfId="0" applyBorder="1"/>
    <xf numFmtId="0" fontId="17" fillId="3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4" fillId="0" borderId="3" xfId="0" applyFont="1" applyBorder="1" applyAlignment="1">
      <alignment horizontal="left" vertical="center"/>
    </xf>
    <xf numFmtId="0" fontId="14" fillId="0" borderId="4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0" fontId="0" fillId="0" borderId="6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6" fillId="3" borderId="6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horizontal="center" vertical="center"/>
    </xf>
    <xf numFmtId="0" fontId="16" fillId="0" borderId="1" xfId="0" applyNumberFormat="1" applyFont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2" fillId="6" borderId="21" xfId="0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21" fillId="5" borderId="8" xfId="0" applyFont="1" applyFill="1" applyBorder="1" applyAlignment="1">
      <alignment horizontal="center" vertical="center"/>
    </xf>
    <xf numFmtId="0" fontId="21" fillId="5" borderId="9" xfId="0" applyFont="1" applyFill="1" applyBorder="1" applyAlignment="1">
      <alignment horizontal="center" vertical="center"/>
    </xf>
    <xf numFmtId="0" fontId="21" fillId="5" borderId="10" xfId="0" applyFont="1" applyFill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</cellXfs>
  <cellStyles count="74">
    <cellStyle name="ColumnHeading" xfId="1"/>
    <cellStyle name="Euro" xfId="2"/>
    <cellStyle name="Excel Built-in Normal" xfId="3"/>
    <cellStyle name="GridBody" xfId="4"/>
    <cellStyle name="Normal" xfId="0" builtinId="0"/>
    <cellStyle name="Normal 10" xfId="5"/>
    <cellStyle name="Normal 11" xfId="6"/>
    <cellStyle name="Normal 12" xfId="7"/>
    <cellStyle name="Normal 12 2" xfId="8"/>
    <cellStyle name="Normal 13" xfId="9"/>
    <cellStyle name="Normal 14" xfId="10"/>
    <cellStyle name="Normal 14 2" xfId="11"/>
    <cellStyle name="Normal 15" xfId="12"/>
    <cellStyle name="Normal 16" xfId="13"/>
    <cellStyle name="Normal 17" xfId="14"/>
    <cellStyle name="Normal 18" xfId="15"/>
    <cellStyle name="Normal 19" xfId="16"/>
    <cellStyle name="Normal 2" xfId="17"/>
    <cellStyle name="Normal 2 2" xfId="18"/>
    <cellStyle name="Normal 2 3" xfId="19"/>
    <cellStyle name="Normal 20" xfId="20"/>
    <cellStyle name="Normal 21" xfId="21"/>
    <cellStyle name="Normal 22" xfId="22"/>
    <cellStyle name="Normal 23" xfId="23"/>
    <cellStyle name="Normal 24" xfId="24"/>
    <cellStyle name="Normal 25" xfId="25"/>
    <cellStyle name="Normal 26" xfId="26"/>
    <cellStyle name="Normal 27" xfId="27"/>
    <cellStyle name="Normal 28" xfId="28"/>
    <cellStyle name="Normal 29" xfId="29"/>
    <cellStyle name="Normal 3" xfId="30"/>
    <cellStyle name="Normal 3 10" xfId="31"/>
    <cellStyle name="Normal 3 11" xfId="32"/>
    <cellStyle name="Normal 3 12" xfId="33"/>
    <cellStyle name="Normal 3 13" xfId="34"/>
    <cellStyle name="Normal 3 14" xfId="35"/>
    <cellStyle name="Normal 3 15" xfId="36"/>
    <cellStyle name="Normal 3 16" xfId="37"/>
    <cellStyle name="Normal 3 17" xfId="38"/>
    <cellStyle name="Normal 3 18" xfId="39"/>
    <cellStyle name="Normal 3 19" xfId="40"/>
    <cellStyle name="Normal 3 2" xfId="41"/>
    <cellStyle name="Normal 3 20" xfId="42"/>
    <cellStyle name="Normal 3 21" xfId="43"/>
    <cellStyle name="Normal 3 22" xfId="44"/>
    <cellStyle name="Normal 3 23" xfId="45"/>
    <cellStyle name="Normal 3 24" xfId="46"/>
    <cellStyle name="Normal 3 25" xfId="47"/>
    <cellStyle name="Normal 3 26" xfId="48"/>
    <cellStyle name="Normal 3 27" xfId="49"/>
    <cellStyle name="Normal 3 28" xfId="50"/>
    <cellStyle name="Normal 3 29" xfId="51"/>
    <cellStyle name="Normal 3 3" xfId="52"/>
    <cellStyle name="Normal 3 4" xfId="53"/>
    <cellStyle name="Normal 3 5" xfId="54"/>
    <cellStyle name="Normal 3 6" xfId="55"/>
    <cellStyle name="Normal 3 7" xfId="56"/>
    <cellStyle name="Normal 3 8" xfId="57"/>
    <cellStyle name="Normal 3 9" xfId="58"/>
    <cellStyle name="Normal 30" xfId="59"/>
    <cellStyle name="Normal 31" xfId="60"/>
    <cellStyle name="Normal 32" xfId="61"/>
    <cellStyle name="Normal 4" xfId="62"/>
    <cellStyle name="Normal 5" xfId="63"/>
    <cellStyle name="Normal 6" xfId="64"/>
    <cellStyle name="Normal 7" xfId="65"/>
    <cellStyle name="Normal 8" xfId="66"/>
    <cellStyle name="Normal 9" xfId="67"/>
    <cellStyle name="Normale 2" xfId="68"/>
    <cellStyle name="Normale 3" xfId="69"/>
    <cellStyle name="Normalny_Arkusz1" xfId="70"/>
    <cellStyle name="Percent 2" xfId="71"/>
    <cellStyle name="Percent 2 2" xfId="72"/>
    <cellStyle name="Tick" xfId="7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jpeg"/><Relationship Id="rId4" Type="http://schemas.openxmlformats.org/officeDocument/2006/relationships/image" Target="../media/image2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6</xdr:row>
      <xdr:rowOff>47625</xdr:rowOff>
    </xdr:from>
    <xdr:to>
      <xdr:col>0</xdr:col>
      <xdr:colOff>1009650</xdr:colOff>
      <xdr:row>6</xdr:row>
      <xdr:rowOff>533400</xdr:rowOff>
    </xdr:to>
    <xdr:pic>
      <xdr:nvPicPr>
        <xdr:cNvPr id="2" name="Picture 1" descr="NO ART N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17241"/>
        <a:stretch>
          <a:fillRect/>
        </a:stretch>
      </xdr:blipFill>
      <xdr:spPr>
        <a:xfrm>
          <a:off x="38100" y="723900"/>
          <a:ext cx="971550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7</xdr:row>
      <xdr:rowOff>57150</xdr:rowOff>
    </xdr:from>
    <xdr:to>
      <xdr:col>0</xdr:col>
      <xdr:colOff>1000125</xdr:colOff>
      <xdr:row>7</xdr:row>
      <xdr:rowOff>581025</xdr:rowOff>
    </xdr:to>
    <xdr:pic>
      <xdr:nvPicPr>
        <xdr:cNvPr id="3" name="Picture 2" descr="U845HD (2)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507" t="5430" r="10294" b="11463"/>
        <a:stretch>
          <a:fillRect/>
        </a:stretch>
      </xdr:blipFill>
      <xdr:spPr>
        <a:xfrm>
          <a:off x="76201" y="1381125"/>
          <a:ext cx="923924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8</xdr:row>
      <xdr:rowOff>95250</xdr:rowOff>
    </xdr:from>
    <xdr:to>
      <xdr:col>0</xdr:col>
      <xdr:colOff>990600</xdr:colOff>
      <xdr:row>8</xdr:row>
      <xdr:rowOff>657225</xdr:rowOff>
    </xdr:to>
    <xdr:pic>
      <xdr:nvPicPr>
        <xdr:cNvPr id="4" name="Picture 3" descr="U845H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" y="2066925"/>
          <a:ext cx="93345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9</xdr:row>
      <xdr:rowOff>85725</xdr:rowOff>
    </xdr:from>
    <xdr:to>
      <xdr:col>0</xdr:col>
      <xdr:colOff>981075</xdr:colOff>
      <xdr:row>9</xdr:row>
      <xdr:rowOff>601653</xdr:rowOff>
    </xdr:to>
    <xdr:pic>
      <xdr:nvPicPr>
        <xdr:cNvPr id="5" name="Picture 4" descr="U845HB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7460" t="7796" r="2218" b="13172"/>
        <a:stretch>
          <a:fillRect/>
        </a:stretch>
      </xdr:blipFill>
      <xdr:spPr>
        <a:xfrm>
          <a:off x="57151" y="2800350"/>
          <a:ext cx="923924" cy="51592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10</xdr:row>
      <xdr:rowOff>95250</xdr:rowOff>
    </xdr:from>
    <xdr:to>
      <xdr:col>0</xdr:col>
      <xdr:colOff>981075</xdr:colOff>
      <xdr:row>10</xdr:row>
      <xdr:rowOff>590550</xdr:rowOff>
    </xdr:to>
    <xdr:pic>
      <xdr:nvPicPr>
        <xdr:cNvPr id="6" name="Picture 5" descr="U845HF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7150" y="3457575"/>
          <a:ext cx="923925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</xdr:row>
      <xdr:rowOff>85725</xdr:rowOff>
    </xdr:from>
    <xdr:to>
      <xdr:col>0</xdr:col>
      <xdr:colOff>971550</xdr:colOff>
      <xdr:row>11</xdr:row>
      <xdr:rowOff>561975</xdr:rowOff>
    </xdr:to>
    <xdr:pic>
      <xdr:nvPicPr>
        <xdr:cNvPr id="7" name="Picture 6" descr="IMG_20200221_09125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4095750"/>
          <a:ext cx="914400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12</xdr:row>
      <xdr:rowOff>66675</xdr:rowOff>
    </xdr:from>
    <xdr:to>
      <xdr:col>0</xdr:col>
      <xdr:colOff>981075</xdr:colOff>
      <xdr:row>12</xdr:row>
      <xdr:rowOff>609600</xdr:rowOff>
    </xdr:to>
    <xdr:pic>
      <xdr:nvPicPr>
        <xdr:cNvPr id="8" name="Picture 7" descr="IMG-20200217-WA0016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flipH="1">
          <a:off x="47625" y="4724400"/>
          <a:ext cx="933450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13</xdr:row>
      <xdr:rowOff>76200</xdr:rowOff>
    </xdr:from>
    <xdr:to>
      <xdr:col>0</xdr:col>
      <xdr:colOff>952500</xdr:colOff>
      <xdr:row>13</xdr:row>
      <xdr:rowOff>600075</xdr:rowOff>
    </xdr:to>
    <xdr:pic>
      <xdr:nvPicPr>
        <xdr:cNvPr id="9" name="Picture 8" descr="IMG-20200217-WA0009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8100" y="5381625"/>
          <a:ext cx="914400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47626</xdr:rowOff>
    </xdr:from>
    <xdr:to>
      <xdr:col>0</xdr:col>
      <xdr:colOff>971550</xdr:colOff>
      <xdr:row>14</xdr:row>
      <xdr:rowOff>581026</xdr:rowOff>
    </xdr:to>
    <xdr:pic>
      <xdr:nvPicPr>
        <xdr:cNvPr id="10" name="Picture 9" descr="IMG-20200217-WA0014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7150" y="6000751"/>
          <a:ext cx="9144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32</xdr:row>
      <xdr:rowOff>81643</xdr:rowOff>
    </xdr:from>
    <xdr:to>
      <xdr:col>0</xdr:col>
      <xdr:colOff>989504</xdr:colOff>
      <xdr:row>35</xdr:row>
      <xdr:rowOff>19050</xdr:rowOff>
    </xdr:to>
    <xdr:pic>
      <xdr:nvPicPr>
        <xdr:cNvPr id="11" name="Picture 10" descr="IMG_20200221_09163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2917" y="7806418"/>
          <a:ext cx="936587" cy="451757"/>
        </a:xfrm>
        <a:prstGeom prst="rect">
          <a:avLst/>
        </a:prstGeom>
      </xdr:spPr>
    </xdr:pic>
    <xdr:clientData/>
  </xdr:twoCellAnchor>
  <xdr:twoCellAnchor editAs="oneCell">
    <xdr:from>
      <xdr:col>0</xdr:col>
      <xdr:colOff>52918</xdr:colOff>
      <xdr:row>36</xdr:row>
      <xdr:rowOff>57151</xdr:rowOff>
    </xdr:from>
    <xdr:to>
      <xdr:col>0</xdr:col>
      <xdr:colOff>1023864</xdr:colOff>
      <xdr:row>39</xdr:row>
      <xdr:rowOff>19051</xdr:rowOff>
    </xdr:to>
    <xdr:pic>
      <xdr:nvPicPr>
        <xdr:cNvPr id="12" name="Picture 11" descr="IMG_20200221_09205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918" y="8391526"/>
          <a:ext cx="970946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40822</xdr:colOff>
      <xdr:row>40</xdr:row>
      <xdr:rowOff>57150</xdr:rowOff>
    </xdr:from>
    <xdr:to>
      <xdr:col>0</xdr:col>
      <xdr:colOff>1009650</xdr:colOff>
      <xdr:row>43</xdr:row>
      <xdr:rowOff>9526</xdr:rowOff>
    </xdr:to>
    <xdr:pic>
      <xdr:nvPicPr>
        <xdr:cNvPr id="13" name="Picture 12" descr="IMG_20200221_091847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0822" y="9001125"/>
          <a:ext cx="968828" cy="466726"/>
        </a:xfrm>
        <a:prstGeom prst="rect">
          <a:avLst/>
        </a:prstGeom>
      </xdr:spPr>
    </xdr:pic>
    <xdr:clientData/>
  </xdr:twoCellAnchor>
  <xdr:twoCellAnchor editAs="oneCell">
    <xdr:from>
      <xdr:col>0</xdr:col>
      <xdr:colOff>9073</xdr:colOff>
      <xdr:row>44</xdr:row>
      <xdr:rowOff>57150</xdr:rowOff>
    </xdr:from>
    <xdr:to>
      <xdr:col>0</xdr:col>
      <xdr:colOff>990601</xdr:colOff>
      <xdr:row>47</xdr:row>
      <xdr:rowOff>33866</xdr:rowOff>
    </xdr:to>
    <xdr:pic>
      <xdr:nvPicPr>
        <xdr:cNvPr id="14" name="Picture 13" descr="U84E2B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073" y="9610725"/>
          <a:ext cx="981528" cy="491066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48</xdr:row>
      <xdr:rowOff>52917</xdr:rowOff>
    </xdr:from>
    <xdr:to>
      <xdr:col>0</xdr:col>
      <xdr:colOff>990600</xdr:colOff>
      <xdr:row>51</xdr:row>
      <xdr:rowOff>47625</xdr:rowOff>
    </xdr:to>
    <xdr:pic>
      <xdr:nvPicPr>
        <xdr:cNvPr id="15" name="Picture 14" descr="U845HC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b="17381"/>
        <a:stretch>
          <a:fillRect/>
        </a:stretch>
      </xdr:blipFill>
      <xdr:spPr>
        <a:xfrm>
          <a:off x="31751" y="10216092"/>
          <a:ext cx="958849" cy="5090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52</xdr:row>
      <xdr:rowOff>47625</xdr:rowOff>
    </xdr:from>
    <xdr:to>
      <xdr:col>0</xdr:col>
      <xdr:colOff>1019176</xdr:colOff>
      <xdr:row>55</xdr:row>
      <xdr:rowOff>1</xdr:rowOff>
    </xdr:to>
    <xdr:pic>
      <xdr:nvPicPr>
        <xdr:cNvPr id="16" name="Picture 15" descr="u845 hf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584" y="10820400"/>
          <a:ext cx="1008592" cy="466726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56</xdr:row>
      <xdr:rowOff>55941</xdr:rowOff>
    </xdr:from>
    <xdr:to>
      <xdr:col>0</xdr:col>
      <xdr:colOff>981075</xdr:colOff>
      <xdr:row>58</xdr:row>
      <xdr:rowOff>152401</xdr:rowOff>
    </xdr:to>
    <xdr:pic>
      <xdr:nvPicPr>
        <xdr:cNvPr id="17" name="Picture 16" descr="IMG-20200217-WA002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b="10497"/>
        <a:stretch>
          <a:fillRect/>
        </a:stretch>
      </xdr:blipFill>
      <xdr:spPr>
        <a:xfrm>
          <a:off x="10583" y="11438316"/>
          <a:ext cx="970492" cy="439360"/>
        </a:xfrm>
        <a:prstGeom prst="rect">
          <a:avLst/>
        </a:prstGeom>
      </xdr:spPr>
    </xdr:pic>
    <xdr:clientData/>
  </xdr:twoCellAnchor>
  <xdr:twoCellAnchor editAs="oneCell">
    <xdr:from>
      <xdr:col>0</xdr:col>
      <xdr:colOff>4536</xdr:colOff>
      <xdr:row>60</xdr:row>
      <xdr:rowOff>52917</xdr:rowOff>
    </xdr:from>
    <xdr:to>
      <xdr:col>0</xdr:col>
      <xdr:colOff>990600</xdr:colOff>
      <xdr:row>63</xdr:row>
      <xdr:rowOff>23283</xdr:rowOff>
    </xdr:to>
    <xdr:pic>
      <xdr:nvPicPr>
        <xdr:cNvPr id="18" name="Picture 17" descr="U845HB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7460" t="7796" r="2218" b="13172"/>
        <a:stretch>
          <a:fillRect/>
        </a:stretch>
      </xdr:blipFill>
      <xdr:spPr>
        <a:xfrm>
          <a:off x="4536" y="12044892"/>
          <a:ext cx="986064" cy="4847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</xdr:colOff>
      <xdr:row>6</xdr:row>
      <xdr:rowOff>85726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0" y="1"/>
          <a:ext cx="1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</xdr:row>
      <xdr:rowOff>247650</xdr:rowOff>
    </xdr:from>
    <xdr:to>
      <xdr:col>0</xdr:col>
      <xdr:colOff>1369552</xdr:colOff>
      <xdr:row>6</xdr:row>
      <xdr:rowOff>238125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62050"/>
          <a:ext cx="1283827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7</xdr:row>
      <xdr:rowOff>247649</xdr:rowOff>
    </xdr:from>
    <xdr:to>
      <xdr:col>0</xdr:col>
      <xdr:colOff>1428750</xdr:colOff>
      <xdr:row>10</xdr:row>
      <xdr:rowOff>114299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95549"/>
          <a:ext cx="14001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11</xdr:row>
      <xdr:rowOff>76199</xdr:rowOff>
    </xdr:from>
    <xdr:to>
      <xdr:col>0</xdr:col>
      <xdr:colOff>1343025</xdr:colOff>
      <xdr:row>12</xdr:row>
      <xdr:rowOff>266699</xdr:rowOff>
    </xdr:to>
    <xdr:pic>
      <xdr:nvPicPr>
        <xdr:cNvPr id="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657599"/>
          <a:ext cx="11811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114299</xdr:colOff>
      <xdr:row>13</xdr:row>
      <xdr:rowOff>57149</xdr:rowOff>
    </xdr:from>
    <xdr:to>
      <xdr:col>0</xdr:col>
      <xdr:colOff>1341119</xdr:colOff>
      <xdr:row>14</xdr:row>
      <xdr:rowOff>285749</xdr:rowOff>
    </xdr:to>
    <xdr:pic>
      <xdr:nvPicPr>
        <xdr:cNvPr id="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" y="4305299"/>
          <a:ext cx="122682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114301</xdr:colOff>
      <xdr:row>15</xdr:row>
      <xdr:rowOff>314326</xdr:rowOff>
    </xdr:from>
    <xdr:to>
      <xdr:col>0</xdr:col>
      <xdr:colOff>1332351</xdr:colOff>
      <xdr:row>17</xdr:row>
      <xdr:rowOff>304800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01" y="5229226"/>
          <a:ext cx="1218050" cy="6572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65"/>
  <sheetViews>
    <sheetView tabSelected="1" workbookViewId="0">
      <selection activeCell="X39" sqref="X39"/>
    </sheetView>
  </sheetViews>
  <sheetFormatPr defaultRowHeight="15"/>
  <cols>
    <col min="1" max="1" width="15.7109375" customWidth="1"/>
    <col min="2" max="2" width="15.85546875" customWidth="1"/>
    <col min="3" max="3" width="10.42578125" customWidth="1"/>
    <col min="17" max="17" width="10.140625" bestFit="1" customWidth="1"/>
  </cols>
  <sheetData>
    <row r="4" spans="1:17" s="4" customFormat="1" ht="18.75">
      <c r="A4" s="44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</row>
    <row r="5" spans="1:17" s="4" customFormat="1" ht="18.75">
      <c r="A5" s="44" t="s">
        <v>30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</row>
    <row r="6" spans="1:17" ht="20.100000000000001" customHeight="1">
      <c r="A6" s="1" t="s">
        <v>28</v>
      </c>
      <c r="B6" s="1" t="s">
        <v>1</v>
      </c>
      <c r="C6" s="1" t="s">
        <v>4</v>
      </c>
      <c r="D6" s="1">
        <v>39</v>
      </c>
      <c r="E6" s="1">
        <v>40</v>
      </c>
      <c r="F6" s="1">
        <v>41</v>
      </c>
      <c r="G6" s="1">
        <v>41.5</v>
      </c>
      <c r="H6" s="1">
        <v>42</v>
      </c>
      <c r="I6" s="1">
        <v>42.5</v>
      </c>
      <c r="J6" s="1">
        <v>43</v>
      </c>
      <c r="K6" s="1">
        <v>43.5</v>
      </c>
      <c r="L6" s="1">
        <v>44</v>
      </c>
      <c r="M6" s="1">
        <v>44.5</v>
      </c>
      <c r="N6" s="1">
        <v>45</v>
      </c>
      <c r="O6" s="1">
        <v>45.5</v>
      </c>
      <c r="P6" s="1">
        <v>46</v>
      </c>
      <c r="Q6" s="1" t="s">
        <v>5</v>
      </c>
    </row>
    <row r="7" spans="1:17" ht="54" customHeight="1">
      <c r="A7" s="3"/>
      <c r="B7" s="5" t="s">
        <v>18</v>
      </c>
      <c r="C7" s="5" t="s">
        <v>29</v>
      </c>
      <c r="D7" s="2">
        <v>0</v>
      </c>
      <c r="E7" s="2">
        <v>0</v>
      </c>
      <c r="F7" s="2">
        <v>0</v>
      </c>
      <c r="G7" s="2">
        <v>0</v>
      </c>
      <c r="H7" s="2">
        <v>6</v>
      </c>
      <c r="I7" s="2">
        <v>0</v>
      </c>
      <c r="J7" s="2">
        <v>2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f>SUM(C7:P7)</f>
        <v>8</v>
      </c>
    </row>
    <row r="8" spans="1:17" ht="54" customHeight="1">
      <c r="A8" s="3"/>
      <c r="B8" s="5" t="s">
        <v>2</v>
      </c>
      <c r="C8" s="5" t="s">
        <v>19</v>
      </c>
      <c r="D8" s="2">
        <f>26+1+1+1+6+4</f>
        <v>39</v>
      </c>
      <c r="E8" s="2">
        <f>30+1+5+8</f>
        <v>44</v>
      </c>
      <c r="F8" s="2">
        <f>34+1+11+6</f>
        <v>52</v>
      </c>
      <c r="G8" s="2">
        <v>0</v>
      </c>
      <c r="H8" s="2">
        <f>41+1+2+1+2+2+14</f>
        <v>63</v>
      </c>
      <c r="I8" s="2">
        <v>0</v>
      </c>
      <c r="J8" s="2">
        <f>49+7+6</f>
        <v>62</v>
      </c>
      <c r="K8" s="2">
        <v>0</v>
      </c>
      <c r="L8" s="2">
        <f>23+2+4+7</f>
        <v>36</v>
      </c>
      <c r="M8" s="2">
        <v>0</v>
      </c>
      <c r="N8" s="2">
        <f>2+3+2+1+6+9+1+1+3+1</f>
        <v>29</v>
      </c>
      <c r="O8" s="2">
        <v>0</v>
      </c>
      <c r="P8" s="2">
        <f>28+4</f>
        <v>32</v>
      </c>
      <c r="Q8" s="2">
        <f t="shared" ref="Q8:Q15" si="0">SUM(C8:P8)</f>
        <v>357</v>
      </c>
    </row>
    <row r="9" spans="1:17" ht="54" customHeight="1">
      <c r="A9" s="3"/>
      <c r="B9" s="6" t="s">
        <v>20</v>
      </c>
      <c r="C9" s="5" t="s">
        <v>19</v>
      </c>
      <c r="D9" s="2">
        <v>2</v>
      </c>
      <c r="E9" s="2">
        <f>3+2</f>
        <v>5</v>
      </c>
      <c r="F9" s="2">
        <f>13+1</f>
        <v>14</v>
      </c>
      <c r="G9" s="2">
        <v>0</v>
      </c>
      <c r="H9" s="2">
        <f>30+4</f>
        <v>34</v>
      </c>
      <c r="I9" s="2">
        <v>0</v>
      </c>
      <c r="J9" s="2">
        <f>33+1+3+1</f>
        <v>38</v>
      </c>
      <c r="K9" s="2">
        <v>0</v>
      </c>
      <c r="L9" s="2">
        <f>20+1</f>
        <v>21</v>
      </c>
      <c r="M9" s="2">
        <v>0</v>
      </c>
      <c r="N9" s="2">
        <f>20+1</f>
        <v>21</v>
      </c>
      <c r="O9" s="2">
        <v>0</v>
      </c>
      <c r="P9" s="2">
        <f>12+1</f>
        <v>13</v>
      </c>
      <c r="Q9" s="2">
        <f t="shared" si="0"/>
        <v>148</v>
      </c>
    </row>
    <row r="10" spans="1:17" ht="54" customHeight="1">
      <c r="A10" s="3"/>
      <c r="B10" s="6" t="s">
        <v>21</v>
      </c>
      <c r="C10" s="5" t="s">
        <v>22</v>
      </c>
      <c r="D10" s="2">
        <f>1+5+2+2+1+3+9+1</f>
        <v>24</v>
      </c>
      <c r="E10" s="2">
        <f>31+4</f>
        <v>35</v>
      </c>
      <c r="F10" s="2">
        <f>21+2</f>
        <v>23</v>
      </c>
      <c r="G10" s="2">
        <v>0</v>
      </c>
      <c r="H10" s="2">
        <f>72+10+1</f>
        <v>83</v>
      </c>
      <c r="I10" s="2">
        <v>0</v>
      </c>
      <c r="J10" s="2">
        <f>54+3+7</f>
        <v>64</v>
      </c>
      <c r="K10" s="2">
        <v>0</v>
      </c>
      <c r="L10" s="2">
        <f>52+9</f>
        <v>61</v>
      </c>
      <c r="M10" s="2">
        <v>0</v>
      </c>
      <c r="N10" s="2">
        <f>48+6+5</f>
        <v>59</v>
      </c>
      <c r="O10" s="2">
        <v>0</v>
      </c>
      <c r="P10" s="2">
        <f>18+1+3+2</f>
        <v>24</v>
      </c>
      <c r="Q10" s="2">
        <f t="shared" si="0"/>
        <v>373</v>
      </c>
    </row>
    <row r="11" spans="1:17" ht="54" customHeight="1">
      <c r="A11" s="3"/>
      <c r="B11" s="6" t="s">
        <v>23</v>
      </c>
      <c r="C11" s="5" t="s">
        <v>24</v>
      </c>
      <c r="D11" s="2">
        <v>1</v>
      </c>
      <c r="E11" s="2">
        <v>2</v>
      </c>
      <c r="F11" s="2">
        <v>2</v>
      </c>
      <c r="G11" s="2">
        <v>3</v>
      </c>
      <c r="H11" s="2">
        <f>2+1+1</f>
        <v>4</v>
      </c>
      <c r="I11" s="2">
        <v>1</v>
      </c>
      <c r="J11" s="2">
        <f>2+1</f>
        <v>3</v>
      </c>
      <c r="K11" s="2">
        <v>1</v>
      </c>
      <c r="L11" s="2">
        <v>4</v>
      </c>
      <c r="M11" s="2">
        <v>0</v>
      </c>
      <c r="N11" s="2">
        <f>2+1</f>
        <v>3</v>
      </c>
      <c r="O11" s="2">
        <v>0</v>
      </c>
      <c r="P11" s="2">
        <f>3+1</f>
        <v>4</v>
      </c>
      <c r="Q11" s="2">
        <f t="shared" si="0"/>
        <v>28</v>
      </c>
    </row>
    <row r="12" spans="1:17" ht="54" customHeight="1">
      <c r="A12" s="3"/>
      <c r="B12" s="6" t="s">
        <v>25</v>
      </c>
      <c r="C12" s="5" t="s">
        <v>24</v>
      </c>
      <c r="D12" s="2">
        <v>0</v>
      </c>
      <c r="E12" s="2">
        <v>3</v>
      </c>
      <c r="F12" s="2">
        <f>24+3</f>
        <v>27</v>
      </c>
      <c r="G12" s="2">
        <v>0</v>
      </c>
      <c r="H12" s="2">
        <f>3+3+6+5+5+4</f>
        <v>26</v>
      </c>
      <c r="I12" s="2"/>
      <c r="J12" s="2">
        <v>18</v>
      </c>
      <c r="K12" s="2">
        <v>0</v>
      </c>
      <c r="L12" s="2">
        <v>25</v>
      </c>
      <c r="M12" s="2">
        <v>0</v>
      </c>
      <c r="N12" s="2">
        <v>15</v>
      </c>
      <c r="O12" s="2">
        <v>0</v>
      </c>
      <c r="P12" s="2">
        <f>6+1+2+1</f>
        <v>10</v>
      </c>
      <c r="Q12" s="2">
        <f t="shared" si="0"/>
        <v>124</v>
      </c>
    </row>
    <row r="13" spans="1:17" ht="54" customHeight="1">
      <c r="A13" s="3"/>
      <c r="B13" s="6" t="s">
        <v>26</v>
      </c>
      <c r="C13" s="5" t="s">
        <v>22</v>
      </c>
      <c r="D13" s="2">
        <f>7+2</f>
        <v>9</v>
      </c>
      <c r="E13" s="2">
        <f>15+1+6</f>
        <v>22</v>
      </c>
      <c r="F13" s="2">
        <f>83+4</f>
        <v>87</v>
      </c>
      <c r="G13" s="2">
        <v>0</v>
      </c>
      <c r="H13" s="2">
        <f>55+5</f>
        <v>60</v>
      </c>
      <c r="I13" s="2">
        <v>0</v>
      </c>
      <c r="J13" s="2">
        <f>66+1+16</f>
        <v>83</v>
      </c>
      <c r="K13" s="2">
        <v>0</v>
      </c>
      <c r="L13" s="2">
        <f>72+22</f>
        <v>94</v>
      </c>
      <c r="M13" s="2">
        <v>0</v>
      </c>
      <c r="N13" s="2">
        <f>41+3+5</f>
        <v>49</v>
      </c>
      <c r="O13" s="2">
        <v>0</v>
      </c>
      <c r="P13" s="2">
        <f>21+1+4</f>
        <v>26</v>
      </c>
      <c r="Q13" s="2">
        <f t="shared" si="0"/>
        <v>430</v>
      </c>
    </row>
    <row r="14" spans="1:17" ht="54" customHeight="1">
      <c r="A14" s="3"/>
      <c r="B14" s="6" t="s">
        <v>2</v>
      </c>
      <c r="C14" s="5" t="s">
        <v>24</v>
      </c>
      <c r="D14" s="2">
        <v>14</v>
      </c>
      <c r="E14" s="2">
        <v>16</v>
      </c>
      <c r="F14" s="2">
        <v>29</v>
      </c>
      <c r="G14" s="2">
        <v>1</v>
      </c>
      <c r="H14" s="2">
        <f>21+6</f>
        <v>27</v>
      </c>
      <c r="I14" s="2">
        <v>4</v>
      </c>
      <c r="J14" s="2">
        <f>35+1</f>
        <v>36</v>
      </c>
      <c r="K14" s="2">
        <v>1</v>
      </c>
      <c r="L14" s="2">
        <f>17+1</f>
        <v>18</v>
      </c>
      <c r="M14" s="2">
        <v>0</v>
      </c>
      <c r="N14" s="2">
        <v>6</v>
      </c>
      <c r="O14" s="2">
        <v>0</v>
      </c>
      <c r="P14" s="2">
        <v>4</v>
      </c>
      <c r="Q14" s="2">
        <f t="shared" si="0"/>
        <v>156</v>
      </c>
    </row>
    <row r="15" spans="1:17" ht="54" customHeight="1">
      <c r="A15" s="3"/>
      <c r="B15" s="6" t="s">
        <v>27</v>
      </c>
      <c r="C15" s="5" t="s">
        <v>22</v>
      </c>
      <c r="D15" s="2">
        <v>0</v>
      </c>
      <c r="E15" s="2">
        <f>1+4</f>
        <v>5</v>
      </c>
      <c r="F15" s="2">
        <v>2</v>
      </c>
      <c r="G15" s="2">
        <v>0</v>
      </c>
      <c r="H15" s="2">
        <f>26+1+1+3</f>
        <v>31</v>
      </c>
      <c r="I15" s="2">
        <v>0</v>
      </c>
      <c r="J15" s="2">
        <f>17+7+2</f>
        <v>26</v>
      </c>
      <c r="K15" s="2">
        <v>0</v>
      </c>
      <c r="L15" s="2">
        <f>7+1+9+1</f>
        <v>18</v>
      </c>
      <c r="M15" s="2">
        <v>0</v>
      </c>
      <c r="N15" s="2">
        <f>5+2+2+2+2+5+1</f>
        <v>19</v>
      </c>
      <c r="O15" s="2">
        <v>0</v>
      </c>
      <c r="P15" s="2">
        <f>2+1+1+1+2</f>
        <v>7</v>
      </c>
      <c r="Q15" s="2">
        <f t="shared" si="0"/>
        <v>108</v>
      </c>
    </row>
    <row r="16" spans="1:17" s="7" customFormat="1" ht="24" customHeight="1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43" t="s">
        <v>3</v>
      </c>
      <c r="P16" s="43"/>
      <c r="Q16" s="28">
        <f>SUM(Q7:Q15)</f>
        <v>1732</v>
      </c>
    </row>
    <row r="17" spans="1:17" s="7" customFormat="1" ht="15" customHeight="1">
      <c r="O17" s="25"/>
      <c r="P17" s="25"/>
      <c r="Q17" s="26"/>
    </row>
    <row r="18" spans="1:17" s="7" customFormat="1" ht="15" customHeight="1">
      <c r="O18" s="25"/>
      <c r="P18" s="25"/>
      <c r="Q18" s="26"/>
    </row>
    <row r="19" spans="1:17" s="7" customFormat="1" ht="15" customHeight="1">
      <c r="O19" s="25"/>
      <c r="P19" s="25"/>
      <c r="Q19" s="26"/>
    </row>
    <row r="20" spans="1:17" s="7" customFormat="1" ht="15" customHeight="1">
      <c r="O20" s="25"/>
      <c r="P20" s="25"/>
      <c r="Q20" s="26"/>
    </row>
    <row r="21" spans="1:17" s="7" customFormat="1" ht="15" customHeight="1">
      <c r="O21" s="25"/>
      <c r="P21" s="25"/>
      <c r="Q21" s="26"/>
    </row>
    <row r="22" spans="1:17" s="7" customFormat="1" ht="15" customHeight="1">
      <c r="O22" s="25"/>
      <c r="P22" s="25"/>
      <c r="Q22" s="26"/>
    </row>
    <row r="23" spans="1:17" s="7" customFormat="1" ht="15" customHeight="1">
      <c r="O23" s="25"/>
      <c r="P23" s="25"/>
      <c r="Q23" s="26"/>
    </row>
    <row r="24" spans="1:17" s="7" customFormat="1" ht="15" customHeight="1">
      <c r="O24" s="25"/>
      <c r="P24" s="25"/>
      <c r="Q24" s="26"/>
    </row>
    <row r="25" spans="1:17" s="7" customFormat="1" ht="15" customHeight="1">
      <c r="O25" s="25"/>
      <c r="P25" s="25"/>
      <c r="Q25" s="26"/>
    </row>
    <row r="26" spans="1:17" s="7" customFormat="1" ht="15" customHeight="1">
      <c r="O26" s="25"/>
      <c r="P26" s="25"/>
      <c r="Q26" s="26"/>
    </row>
    <row r="27" spans="1:17" s="7" customFormat="1" ht="15" customHeight="1">
      <c r="O27" s="25"/>
      <c r="P27" s="25"/>
      <c r="Q27" s="26"/>
    </row>
    <row r="28" spans="1:17" s="7" customFormat="1" ht="15" customHeight="1">
      <c r="O28" s="25"/>
      <c r="P28" s="25"/>
      <c r="Q28" s="26"/>
    </row>
    <row r="30" spans="1:17" s="8" customFormat="1" ht="20.100000000000001" customHeight="1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4"/>
    </row>
    <row r="31" spans="1:17" s="8" customFormat="1" ht="20.100000000000001" customHeight="1">
      <c r="A31" s="32" t="s">
        <v>31</v>
      </c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4"/>
    </row>
    <row r="32" spans="1:17" ht="20.100000000000001" customHeight="1">
      <c r="A32" s="10" t="s">
        <v>28</v>
      </c>
      <c r="B32" s="9" t="s">
        <v>1</v>
      </c>
      <c r="C32" s="9" t="s">
        <v>4</v>
      </c>
      <c r="D32" s="9">
        <v>39</v>
      </c>
      <c r="E32" s="9">
        <v>40</v>
      </c>
      <c r="F32" s="9">
        <v>41</v>
      </c>
      <c r="G32" s="9">
        <v>41.5</v>
      </c>
      <c r="H32" s="9">
        <v>42</v>
      </c>
      <c r="I32" s="9">
        <v>42.5</v>
      </c>
      <c r="J32" s="9">
        <v>43</v>
      </c>
      <c r="K32" s="9">
        <v>43.5</v>
      </c>
      <c r="L32" s="9">
        <v>44</v>
      </c>
      <c r="M32" s="9">
        <v>44.5</v>
      </c>
      <c r="N32" s="9">
        <v>45</v>
      </c>
      <c r="O32" s="9">
        <v>45.5</v>
      </c>
      <c r="P32" s="9">
        <v>46</v>
      </c>
      <c r="Q32" s="9" t="s">
        <v>5</v>
      </c>
    </row>
    <row r="33" spans="1:17" ht="13.5" customHeight="1">
      <c r="A33" s="35"/>
      <c r="B33" s="42" t="s">
        <v>6</v>
      </c>
      <c r="C33" s="42" t="s">
        <v>7</v>
      </c>
      <c r="D33" s="41">
        <f>3+1+1+1</f>
        <v>6</v>
      </c>
      <c r="E33" s="42">
        <f>2+1+1+1+3+1</f>
        <v>9</v>
      </c>
      <c r="F33" s="41">
        <f>5+13</f>
        <v>18</v>
      </c>
      <c r="G33" s="42">
        <v>0</v>
      </c>
      <c r="H33" s="41">
        <f>25+1+1+19+1</f>
        <v>47</v>
      </c>
      <c r="I33" s="42">
        <v>0</v>
      </c>
      <c r="J33" s="41">
        <f>13+1+2+18+2</f>
        <v>36</v>
      </c>
      <c r="K33" s="42">
        <v>0</v>
      </c>
      <c r="L33" s="41">
        <f>12+1+1+15+1</f>
        <v>30</v>
      </c>
      <c r="M33" s="42">
        <v>0</v>
      </c>
      <c r="N33" s="41">
        <f>11+1+1+1+8+1</f>
        <v>23</v>
      </c>
      <c r="O33" s="42">
        <v>0</v>
      </c>
      <c r="P33" s="41">
        <f>11+1+1+2+1</f>
        <v>16</v>
      </c>
      <c r="Q33" s="42">
        <f t="shared" ref="Q33" si="1">SUM(D33:P33)</f>
        <v>185</v>
      </c>
    </row>
    <row r="34" spans="1:17" ht="13.5" customHeight="1">
      <c r="A34" s="36"/>
      <c r="B34" s="42"/>
      <c r="C34" s="42"/>
      <c r="D34" s="41"/>
      <c r="E34" s="42"/>
      <c r="F34" s="41"/>
      <c r="G34" s="42"/>
      <c r="H34" s="41"/>
      <c r="I34" s="42"/>
      <c r="J34" s="41"/>
      <c r="K34" s="42"/>
      <c r="L34" s="41"/>
      <c r="M34" s="42"/>
      <c r="N34" s="41"/>
      <c r="O34" s="42"/>
      <c r="P34" s="41"/>
      <c r="Q34" s="42"/>
    </row>
    <row r="35" spans="1:17" ht="13.5" customHeight="1">
      <c r="A35" s="36"/>
      <c r="B35" s="42"/>
      <c r="C35" s="42"/>
      <c r="D35" s="41"/>
      <c r="E35" s="42"/>
      <c r="F35" s="41"/>
      <c r="G35" s="42"/>
      <c r="H35" s="41"/>
      <c r="I35" s="42"/>
      <c r="J35" s="41"/>
      <c r="K35" s="42"/>
      <c r="L35" s="41"/>
      <c r="M35" s="42"/>
      <c r="N35" s="41"/>
      <c r="O35" s="42"/>
      <c r="P35" s="41"/>
      <c r="Q35" s="42"/>
    </row>
    <row r="36" spans="1:17" ht="13.5" customHeight="1">
      <c r="A36" s="37"/>
      <c r="B36" s="42"/>
      <c r="C36" s="42"/>
      <c r="D36" s="41"/>
      <c r="E36" s="42"/>
      <c r="F36" s="41"/>
      <c r="G36" s="42"/>
      <c r="H36" s="41"/>
      <c r="I36" s="42"/>
      <c r="J36" s="41"/>
      <c r="K36" s="42"/>
      <c r="L36" s="41"/>
      <c r="M36" s="42"/>
      <c r="N36" s="41"/>
      <c r="O36" s="42"/>
      <c r="P36" s="41"/>
      <c r="Q36" s="42"/>
    </row>
    <row r="37" spans="1:17" ht="13.5" customHeight="1">
      <c r="A37" s="38"/>
      <c r="B37" s="41" t="s">
        <v>8</v>
      </c>
      <c r="C37" s="42" t="s">
        <v>9</v>
      </c>
      <c r="D37" s="41">
        <f>11+1</f>
        <v>12</v>
      </c>
      <c r="E37" s="42">
        <v>8</v>
      </c>
      <c r="F37" s="41">
        <f>17+1+1</f>
        <v>19</v>
      </c>
      <c r="G37" s="42">
        <v>1</v>
      </c>
      <c r="H37" s="41">
        <v>40</v>
      </c>
      <c r="I37" s="42">
        <v>7</v>
      </c>
      <c r="J37" s="41">
        <v>18</v>
      </c>
      <c r="K37" s="42">
        <f>5+1+2</f>
        <v>8</v>
      </c>
      <c r="L37" s="41">
        <v>25</v>
      </c>
      <c r="M37" s="42">
        <v>0</v>
      </c>
      <c r="N37" s="41">
        <f>20+2+1</f>
        <v>23</v>
      </c>
      <c r="O37" s="42">
        <v>0</v>
      </c>
      <c r="P37" s="42">
        <f>13+1</f>
        <v>14</v>
      </c>
      <c r="Q37" s="42">
        <f t="shared" ref="Q37:Q56" si="2">SUM(D37:P37)</f>
        <v>175</v>
      </c>
    </row>
    <row r="38" spans="1:17" ht="13.5" customHeight="1">
      <c r="A38" s="39"/>
      <c r="B38" s="41" t="s">
        <v>8</v>
      </c>
      <c r="C38" s="42" t="s">
        <v>9</v>
      </c>
      <c r="D38" s="41">
        <f>11+1</f>
        <v>12</v>
      </c>
      <c r="E38" s="42">
        <v>8</v>
      </c>
      <c r="F38" s="41">
        <f>17+1</f>
        <v>18</v>
      </c>
      <c r="G38" s="42">
        <v>1</v>
      </c>
      <c r="H38" s="41">
        <v>40</v>
      </c>
      <c r="I38" s="42">
        <v>7</v>
      </c>
      <c r="J38" s="41">
        <v>18</v>
      </c>
      <c r="K38" s="42">
        <f>5+1+2</f>
        <v>8</v>
      </c>
      <c r="L38" s="41">
        <v>25</v>
      </c>
      <c r="M38" s="42">
        <v>0</v>
      </c>
      <c r="N38" s="41">
        <f>20+2</f>
        <v>22</v>
      </c>
      <c r="O38" s="42">
        <v>0</v>
      </c>
      <c r="P38" s="42">
        <v>13</v>
      </c>
      <c r="Q38" s="42">
        <f t="shared" si="2"/>
        <v>172</v>
      </c>
    </row>
    <row r="39" spans="1:17" ht="13.5" customHeight="1">
      <c r="A39" s="39"/>
      <c r="B39" s="41" t="s">
        <v>8</v>
      </c>
      <c r="C39" s="42" t="s">
        <v>9</v>
      </c>
      <c r="D39" s="41">
        <f>11+1</f>
        <v>12</v>
      </c>
      <c r="E39" s="42">
        <v>8</v>
      </c>
      <c r="F39" s="41">
        <f>17+1</f>
        <v>18</v>
      </c>
      <c r="G39" s="42">
        <v>1</v>
      </c>
      <c r="H39" s="41">
        <v>40</v>
      </c>
      <c r="I39" s="42">
        <v>7</v>
      </c>
      <c r="J39" s="41">
        <v>18</v>
      </c>
      <c r="K39" s="42">
        <f>5+1+2</f>
        <v>8</v>
      </c>
      <c r="L39" s="41">
        <v>25</v>
      </c>
      <c r="M39" s="42">
        <v>0</v>
      </c>
      <c r="N39" s="41">
        <f>20+2</f>
        <v>22</v>
      </c>
      <c r="O39" s="42">
        <v>0</v>
      </c>
      <c r="P39" s="42">
        <v>13</v>
      </c>
      <c r="Q39" s="42">
        <f t="shared" si="2"/>
        <v>172</v>
      </c>
    </row>
    <row r="40" spans="1:17" ht="13.5" customHeight="1">
      <c r="A40" s="40"/>
      <c r="B40" s="41" t="s">
        <v>8</v>
      </c>
      <c r="C40" s="42" t="s">
        <v>9</v>
      </c>
      <c r="D40" s="41">
        <f>11+1</f>
        <v>12</v>
      </c>
      <c r="E40" s="42">
        <v>8</v>
      </c>
      <c r="F40" s="41">
        <f>17+1</f>
        <v>18</v>
      </c>
      <c r="G40" s="42">
        <v>1</v>
      </c>
      <c r="H40" s="41">
        <v>40</v>
      </c>
      <c r="I40" s="42">
        <v>7</v>
      </c>
      <c r="J40" s="41">
        <v>18</v>
      </c>
      <c r="K40" s="42">
        <f>5+1+2</f>
        <v>8</v>
      </c>
      <c r="L40" s="41">
        <v>25</v>
      </c>
      <c r="M40" s="42">
        <v>0</v>
      </c>
      <c r="N40" s="41">
        <f>20+2</f>
        <v>22</v>
      </c>
      <c r="O40" s="42">
        <v>0</v>
      </c>
      <c r="P40" s="42">
        <v>13</v>
      </c>
      <c r="Q40" s="42">
        <f t="shared" si="2"/>
        <v>172</v>
      </c>
    </row>
    <row r="41" spans="1:17" ht="13.5" customHeight="1">
      <c r="A41" s="35"/>
      <c r="B41" s="41" t="s">
        <v>10</v>
      </c>
      <c r="C41" s="42" t="s">
        <v>7</v>
      </c>
      <c r="D41" s="41">
        <v>2</v>
      </c>
      <c r="E41" s="42">
        <v>4</v>
      </c>
      <c r="F41" s="41">
        <v>13</v>
      </c>
      <c r="G41" s="42">
        <v>0</v>
      </c>
      <c r="H41" s="41">
        <f>15+1+2</f>
        <v>18</v>
      </c>
      <c r="I41" s="42">
        <v>0</v>
      </c>
      <c r="J41" s="41">
        <f>32+5</f>
        <v>37</v>
      </c>
      <c r="K41" s="42">
        <v>0</v>
      </c>
      <c r="L41" s="41">
        <f>5+1</f>
        <v>6</v>
      </c>
      <c r="M41" s="42">
        <v>0</v>
      </c>
      <c r="N41" s="41">
        <f>19+2+1</f>
        <v>22</v>
      </c>
      <c r="O41" s="42">
        <v>0</v>
      </c>
      <c r="P41" s="42">
        <f>6+1+1</f>
        <v>8</v>
      </c>
      <c r="Q41" s="42">
        <f t="shared" si="2"/>
        <v>110</v>
      </c>
    </row>
    <row r="42" spans="1:17" ht="13.5" customHeight="1">
      <c r="A42" s="36"/>
      <c r="B42" s="41" t="s">
        <v>10</v>
      </c>
      <c r="C42" s="42" t="s">
        <v>7</v>
      </c>
      <c r="D42" s="41">
        <v>2</v>
      </c>
      <c r="E42" s="42">
        <v>4</v>
      </c>
      <c r="F42" s="41">
        <v>13</v>
      </c>
      <c r="G42" s="42">
        <v>0</v>
      </c>
      <c r="H42" s="41">
        <v>15</v>
      </c>
      <c r="I42" s="42">
        <v>0</v>
      </c>
      <c r="J42" s="41">
        <v>32</v>
      </c>
      <c r="K42" s="42">
        <v>0</v>
      </c>
      <c r="L42" s="41">
        <v>4</v>
      </c>
      <c r="M42" s="42">
        <v>0</v>
      </c>
      <c r="N42" s="41">
        <f>19+2</f>
        <v>21</v>
      </c>
      <c r="O42" s="42">
        <v>0</v>
      </c>
      <c r="P42" s="42">
        <f>6+1</f>
        <v>7</v>
      </c>
      <c r="Q42" s="42">
        <f t="shared" si="2"/>
        <v>98</v>
      </c>
    </row>
    <row r="43" spans="1:17" ht="13.5" customHeight="1">
      <c r="A43" s="36"/>
      <c r="B43" s="41" t="s">
        <v>10</v>
      </c>
      <c r="C43" s="42" t="s">
        <v>7</v>
      </c>
      <c r="D43" s="41">
        <v>2</v>
      </c>
      <c r="E43" s="42">
        <v>4</v>
      </c>
      <c r="F43" s="41">
        <v>13</v>
      </c>
      <c r="G43" s="42">
        <v>0</v>
      </c>
      <c r="H43" s="41">
        <v>15</v>
      </c>
      <c r="I43" s="42">
        <v>0</v>
      </c>
      <c r="J43" s="41">
        <v>32</v>
      </c>
      <c r="K43" s="42">
        <v>0</v>
      </c>
      <c r="L43" s="41">
        <v>4</v>
      </c>
      <c r="M43" s="42">
        <v>0</v>
      </c>
      <c r="N43" s="41">
        <f>19+2</f>
        <v>21</v>
      </c>
      <c r="O43" s="42">
        <v>0</v>
      </c>
      <c r="P43" s="42">
        <f>6+1</f>
        <v>7</v>
      </c>
      <c r="Q43" s="42">
        <f t="shared" si="2"/>
        <v>98</v>
      </c>
    </row>
    <row r="44" spans="1:17" ht="13.5" customHeight="1">
      <c r="A44" s="37"/>
      <c r="B44" s="41" t="s">
        <v>10</v>
      </c>
      <c r="C44" s="42" t="s">
        <v>7</v>
      </c>
      <c r="D44" s="41">
        <v>2</v>
      </c>
      <c r="E44" s="42">
        <v>4</v>
      </c>
      <c r="F44" s="41">
        <v>13</v>
      </c>
      <c r="G44" s="42">
        <v>0</v>
      </c>
      <c r="H44" s="41">
        <v>15</v>
      </c>
      <c r="I44" s="42">
        <v>0</v>
      </c>
      <c r="J44" s="41">
        <v>32</v>
      </c>
      <c r="K44" s="42">
        <v>0</v>
      </c>
      <c r="L44" s="41">
        <v>4</v>
      </c>
      <c r="M44" s="42">
        <v>0</v>
      </c>
      <c r="N44" s="41">
        <f>19+2</f>
        <v>21</v>
      </c>
      <c r="O44" s="42">
        <v>0</v>
      </c>
      <c r="P44" s="42">
        <f>6+1</f>
        <v>7</v>
      </c>
      <c r="Q44" s="42">
        <f t="shared" si="2"/>
        <v>98</v>
      </c>
    </row>
    <row r="45" spans="1:17" ht="13.5" customHeight="1">
      <c r="A45" s="35"/>
      <c r="B45" s="41" t="s">
        <v>2</v>
      </c>
      <c r="C45" s="42" t="s">
        <v>9</v>
      </c>
      <c r="D45" s="41">
        <f>2+2+1</f>
        <v>5</v>
      </c>
      <c r="E45" s="42">
        <v>1</v>
      </c>
      <c r="F45" s="41">
        <v>5</v>
      </c>
      <c r="G45" s="42">
        <f>6+3</f>
        <v>9</v>
      </c>
      <c r="H45" s="41">
        <v>3</v>
      </c>
      <c r="I45" s="42">
        <v>0</v>
      </c>
      <c r="J45" s="41">
        <v>0</v>
      </c>
      <c r="K45" s="42">
        <v>0</v>
      </c>
      <c r="L45" s="41">
        <v>0</v>
      </c>
      <c r="M45" s="42">
        <v>0</v>
      </c>
      <c r="N45" s="41">
        <v>0</v>
      </c>
      <c r="O45" s="42">
        <v>0</v>
      </c>
      <c r="P45" s="42">
        <v>1</v>
      </c>
      <c r="Q45" s="42">
        <f t="shared" si="2"/>
        <v>24</v>
      </c>
    </row>
    <row r="46" spans="1:17" ht="13.5" customHeight="1">
      <c r="A46" s="36"/>
      <c r="B46" s="41" t="s">
        <v>2</v>
      </c>
      <c r="C46" s="42" t="s">
        <v>9</v>
      </c>
      <c r="D46" s="41">
        <f>2+2+1</f>
        <v>5</v>
      </c>
      <c r="E46" s="42">
        <v>1</v>
      </c>
      <c r="F46" s="41">
        <v>5</v>
      </c>
      <c r="G46" s="42">
        <f>6+3</f>
        <v>9</v>
      </c>
      <c r="H46" s="41">
        <v>3</v>
      </c>
      <c r="I46" s="42">
        <v>0</v>
      </c>
      <c r="J46" s="41">
        <v>0</v>
      </c>
      <c r="K46" s="42">
        <v>0</v>
      </c>
      <c r="L46" s="41">
        <v>0</v>
      </c>
      <c r="M46" s="42">
        <v>0</v>
      </c>
      <c r="N46" s="41">
        <v>0</v>
      </c>
      <c r="O46" s="42">
        <v>0</v>
      </c>
      <c r="P46" s="42">
        <v>1</v>
      </c>
      <c r="Q46" s="42">
        <f t="shared" si="2"/>
        <v>24</v>
      </c>
    </row>
    <row r="47" spans="1:17" ht="13.5" customHeight="1">
      <c r="A47" s="36"/>
      <c r="B47" s="41" t="s">
        <v>2</v>
      </c>
      <c r="C47" s="42" t="s">
        <v>9</v>
      </c>
      <c r="D47" s="41">
        <f>2+2+1</f>
        <v>5</v>
      </c>
      <c r="E47" s="42">
        <v>1</v>
      </c>
      <c r="F47" s="41">
        <v>5</v>
      </c>
      <c r="G47" s="42">
        <f>6+3</f>
        <v>9</v>
      </c>
      <c r="H47" s="41">
        <v>3</v>
      </c>
      <c r="I47" s="42">
        <v>0</v>
      </c>
      <c r="J47" s="41">
        <v>0</v>
      </c>
      <c r="K47" s="42">
        <v>0</v>
      </c>
      <c r="L47" s="41">
        <v>0</v>
      </c>
      <c r="M47" s="42">
        <v>0</v>
      </c>
      <c r="N47" s="41">
        <v>0</v>
      </c>
      <c r="O47" s="42">
        <v>0</v>
      </c>
      <c r="P47" s="42">
        <v>1</v>
      </c>
      <c r="Q47" s="42">
        <f t="shared" si="2"/>
        <v>24</v>
      </c>
    </row>
    <row r="48" spans="1:17" ht="13.5" customHeight="1">
      <c r="A48" s="37"/>
      <c r="B48" s="41" t="s">
        <v>2</v>
      </c>
      <c r="C48" s="42" t="s">
        <v>9</v>
      </c>
      <c r="D48" s="41">
        <f>2+2+1</f>
        <v>5</v>
      </c>
      <c r="E48" s="42">
        <v>1</v>
      </c>
      <c r="F48" s="41">
        <v>5</v>
      </c>
      <c r="G48" s="42">
        <f>6+3</f>
        <v>9</v>
      </c>
      <c r="H48" s="41">
        <v>3</v>
      </c>
      <c r="I48" s="42">
        <v>0</v>
      </c>
      <c r="J48" s="41">
        <v>0</v>
      </c>
      <c r="K48" s="42">
        <v>0</v>
      </c>
      <c r="L48" s="41">
        <v>0</v>
      </c>
      <c r="M48" s="42">
        <v>0</v>
      </c>
      <c r="N48" s="41">
        <v>0</v>
      </c>
      <c r="O48" s="42">
        <v>0</v>
      </c>
      <c r="P48" s="42">
        <v>1</v>
      </c>
      <c r="Q48" s="42">
        <f t="shared" si="2"/>
        <v>24</v>
      </c>
    </row>
    <row r="49" spans="1:17" ht="13.5" customHeight="1">
      <c r="A49" s="35"/>
      <c r="B49" s="41" t="s">
        <v>11</v>
      </c>
      <c r="C49" s="42" t="s">
        <v>12</v>
      </c>
      <c r="D49" s="41">
        <f>6+4+1</f>
        <v>11</v>
      </c>
      <c r="E49" s="42">
        <f>6+4+3</f>
        <v>13</v>
      </c>
      <c r="F49" s="41">
        <f>10+2+13</f>
        <v>25</v>
      </c>
      <c r="G49" s="42">
        <v>0</v>
      </c>
      <c r="H49" s="41">
        <f>25+8+19</f>
        <v>52</v>
      </c>
      <c r="I49" s="42">
        <v>0</v>
      </c>
      <c r="J49" s="41">
        <f>33+36+15+18</f>
        <v>102</v>
      </c>
      <c r="K49" s="42">
        <v>0</v>
      </c>
      <c r="L49" s="41">
        <f>27+11+15</f>
        <v>53</v>
      </c>
      <c r="M49" s="42">
        <v>0</v>
      </c>
      <c r="N49" s="41">
        <f>26+5+8</f>
        <v>39</v>
      </c>
      <c r="O49" s="42">
        <v>0</v>
      </c>
      <c r="P49" s="42">
        <f>9+3+2</f>
        <v>14</v>
      </c>
      <c r="Q49" s="42">
        <f t="shared" si="2"/>
        <v>309</v>
      </c>
    </row>
    <row r="50" spans="1:17" ht="13.5" customHeight="1">
      <c r="A50" s="36"/>
      <c r="B50" s="41" t="s">
        <v>11</v>
      </c>
      <c r="C50" s="42" t="s">
        <v>12</v>
      </c>
      <c r="D50" s="41">
        <v>6</v>
      </c>
      <c r="E50" s="42">
        <v>6</v>
      </c>
      <c r="F50" s="41">
        <v>10</v>
      </c>
      <c r="G50" s="42">
        <v>0</v>
      </c>
      <c r="H50" s="41">
        <v>25</v>
      </c>
      <c r="I50" s="42">
        <v>0</v>
      </c>
      <c r="J50" s="41">
        <v>33</v>
      </c>
      <c r="K50" s="42">
        <v>0</v>
      </c>
      <c r="L50" s="41">
        <v>27</v>
      </c>
      <c r="M50" s="42">
        <v>0</v>
      </c>
      <c r="N50" s="41">
        <v>26</v>
      </c>
      <c r="O50" s="42">
        <v>0</v>
      </c>
      <c r="P50" s="42">
        <v>9</v>
      </c>
      <c r="Q50" s="42">
        <f t="shared" si="2"/>
        <v>142</v>
      </c>
    </row>
    <row r="51" spans="1:17" ht="13.5" customHeight="1">
      <c r="A51" s="36"/>
      <c r="B51" s="41" t="s">
        <v>11</v>
      </c>
      <c r="C51" s="42" t="s">
        <v>12</v>
      </c>
      <c r="D51" s="41">
        <v>6</v>
      </c>
      <c r="E51" s="42">
        <v>6</v>
      </c>
      <c r="F51" s="41">
        <v>10</v>
      </c>
      <c r="G51" s="42">
        <v>0</v>
      </c>
      <c r="H51" s="41">
        <v>25</v>
      </c>
      <c r="I51" s="42">
        <v>0</v>
      </c>
      <c r="J51" s="41">
        <v>33</v>
      </c>
      <c r="K51" s="42">
        <v>0</v>
      </c>
      <c r="L51" s="41">
        <v>27</v>
      </c>
      <c r="M51" s="42">
        <v>0</v>
      </c>
      <c r="N51" s="41">
        <v>26</v>
      </c>
      <c r="O51" s="42">
        <v>0</v>
      </c>
      <c r="P51" s="42">
        <v>9</v>
      </c>
      <c r="Q51" s="42">
        <f t="shared" si="2"/>
        <v>142</v>
      </c>
    </row>
    <row r="52" spans="1:17" ht="13.5" customHeight="1">
      <c r="A52" s="37"/>
      <c r="B52" s="41" t="s">
        <v>11</v>
      </c>
      <c r="C52" s="42" t="s">
        <v>12</v>
      </c>
      <c r="D52" s="41">
        <v>6</v>
      </c>
      <c r="E52" s="42">
        <v>6</v>
      </c>
      <c r="F52" s="41">
        <v>10</v>
      </c>
      <c r="G52" s="42">
        <v>0</v>
      </c>
      <c r="H52" s="41">
        <v>25</v>
      </c>
      <c r="I52" s="42">
        <v>0</v>
      </c>
      <c r="J52" s="41">
        <v>33</v>
      </c>
      <c r="K52" s="42">
        <v>0</v>
      </c>
      <c r="L52" s="41">
        <v>27</v>
      </c>
      <c r="M52" s="42">
        <v>0</v>
      </c>
      <c r="N52" s="41">
        <v>26</v>
      </c>
      <c r="O52" s="42">
        <v>0</v>
      </c>
      <c r="P52" s="42">
        <v>9</v>
      </c>
      <c r="Q52" s="42">
        <f t="shared" si="2"/>
        <v>142</v>
      </c>
    </row>
    <row r="53" spans="1:17" ht="13.5" customHeight="1">
      <c r="A53" s="35"/>
      <c r="B53" s="41" t="s">
        <v>13</v>
      </c>
      <c r="C53" s="42" t="s">
        <v>14</v>
      </c>
      <c r="D53" s="41">
        <f>5+2+7</f>
        <v>14</v>
      </c>
      <c r="E53" s="42">
        <f>16+2+4+10</f>
        <v>32</v>
      </c>
      <c r="F53" s="41">
        <f>31+1+26</f>
        <v>58</v>
      </c>
      <c r="G53" s="42">
        <v>0</v>
      </c>
      <c r="H53" s="41">
        <f>77+9+28</f>
        <v>114</v>
      </c>
      <c r="I53" s="42">
        <v>0</v>
      </c>
      <c r="J53" s="41">
        <f>33+1+1+29</f>
        <v>64</v>
      </c>
      <c r="K53" s="42">
        <v>0</v>
      </c>
      <c r="L53" s="41">
        <f>37+6+12</f>
        <v>55</v>
      </c>
      <c r="M53" s="42">
        <v>0</v>
      </c>
      <c r="N53" s="41">
        <f>37+1+2+2+1+17+6</f>
        <v>66</v>
      </c>
      <c r="O53" s="42">
        <v>0</v>
      </c>
      <c r="P53" s="42">
        <f>16+10+7</f>
        <v>33</v>
      </c>
      <c r="Q53" s="42">
        <f t="shared" si="2"/>
        <v>436</v>
      </c>
    </row>
    <row r="54" spans="1:17" ht="13.5" customHeight="1">
      <c r="A54" s="36"/>
      <c r="B54" s="41" t="s">
        <v>13</v>
      </c>
      <c r="C54" s="42" t="s">
        <v>14</v>
      </c>
      <c r="D54" s="41">
        <v>5</v>
      </c>
      <c r="E54" s="42">
        <f>16+2</f>
        <v>18</v>
      </c>
      <c r="F54" s="41">
        <v>31</v>
      </c>
      <c r="G54" s="42">
        <v>0</v>
      </c>
      <c r="H54" s="41">
        <v>77</v>
      </c>
      <c r="I54" s="42">
        <v>0</v>
      </c>
      <c r="J54" s="41">
        <f>33+1</f>
        <v>34</v>
      </c>
      <c r="K54" s="42">
        <v>0</v>
      </c>
      <c r="L54" s="41">
        <v>37</v>
      </c>
      <c r="M54" s="42">
        <v>0</v>
      </c>
      <c r="N54" s="41">
        <f>37+1+2+2+1</f>
        <v>43</v>
      </c>
      <c r="O54" s="42">
        <v>0</v>
      </c>
      <c r="P54" s="42">
        <v>16</v>
      </c>
      <c r="Q54" s="42">
        <f t="shared" si="2"/>
        <v>261</v>
      </c>
    </row>
    <row r="55" spans="1:17" ht="13.5" customHeight="1">
      <c r="A55" s="36"/>
      <c r="B55" s="41" t="s">
        <v>13</v>
      </c>
      <c r="C55" s="42" t="s">
        <v>14</v>
      </c>
      <c r="D55" s="41">
        <v>5</v>
      </c>
      <c r="E55" s="42">
        <f>16+2</f>
        <v>18</v>
      </c>
      <c r="F55" s="41">
        <v>31</v>
      </c>
      <c r="G55" s="42">
        <v>0</v>
      </c>
      <c r="H55" s="41">
        <v>77</v>
      </c>
      <c r="I55" s="42">
        <v>0</v>
      </c>
      <c r="J55" s="41">
        <f>33+1</f>
        <v>34</v>
      </c>
      <c r="K55" s="42">
        <v>0</v>
      </c>
      <c r="L55" s="41">
        <v>37</v>
      </c>
      <c r="M55" s="42">
        <v>0</v>
      </c>
      <c r="N55" s="41">
        <f>37+1+2+2+1</f>
        <v>43</v>
      </c>
      <c r="O55" s="42">
        <v>0</v>
      </c>
      <c r="P55" s="42">
        <v>16</v>
      </c>
      <c r="Q55" s="42">
        <f t="shared" si="2"/>
        <v>261</v>
      </c>
    </row>
    <row r="56" spans="1:17" ht="13.5" customHeight="1">
      <c r="A56" s="37"/>
      <c r="B56" s="41" t="s">
        <v>13</v>
      </c>
      <c r="C56" s="42" t="s">
        <v>14</v>
      </c>
      <c r="D56" s="41">
        <v>5</v>
      </c>
      <c r="E56" s="42">
        <f>16+2</f>
        <v>18</v>
      </c>
      <c r="F56" s="41">
        <v>31</v>
      </c>
      <c r="G56" s="42">
        <v>0</v>
      </c>
      <c r="H56" s="41">
        <v>77</v>
      </c>
      <c r="I56" s="42">
        <v>0</v>
      </c>
      <c r="J56" s="41">
        <f>33+1</f>
        <v>34</v>
      </c>
      <c r="K56" s="42">
        <v>0</v>
      </c>
      <c r="L56" s="41">
        <v>37</v>
      </c>
      <c r="M56" s="42">
        <v>0</v>
      </c>
      <c r="N56" s="41">
        <f>37+1+2+2+1</f>
        <v>43</v>
      </c>
      <c r="O56" s="42">
        <v>0</v>
      </c>
      <c r="P56" s="42">
        <v>16</v>
      </c>
      <c r="Q56" s="42">
        <f t="shared" si="2"/>
        <v>261</v>
      </c>
    </row>
    <row r="57" spans="1:17" ht="13.5" customHeight="1">
      <c r="A57" s="35"/>
      <c r="B57" s="41" t="s">
        <v>15</v>
      </c>
      <c r="C57" s="42" t="s">
        <v>16</v>
      </c>
      <c r="D57" s="41">
        <f>5+1</f>
        <v>6</v>
      </c>
      <c r="E57" s="42">
        <f>1+3+1+1+2+9+1+1+1+9+1+1</f>
        <v>31</v>
      </c>
      <c r="F57" s="41">
        <f>1+1+3+2+4+8+2+10+10+9+1+1+6+1+1+1+1+1+1+1+1+4</f>
        <v>70</v>
      </c>
      <c r="G57" s="42">
        <v>0</v>
      </c>
      <c r="H57" s="41">
        <f>3+8+10+2+2+4+4+9+2+2+6+1+7+1+5</f>
        <v>66</v>
      </c>
      <c r="I57" s="42">
        <v>0</v>
      </c>
      <c r="J57" s="41">
        <f>6+1+10+2+1+2+1+9+8+1+1+4+1+9+1+2+9+9+6+6+1+1+1+5</f>
        <v>97</v>
      </c>
      <c r="K57" s="42">
        <v>0</v>
      </c>
      <c r="L57" s="41">
        <f>1+6+1+9+1+9+10+1+1+1+9+4+1+4+4+9+9+2+6+6+2+7</f>
        <v>103</v>
      </c>
      <c r="M57" s="42">
        <v>0</v>
      </c>
      <c r="N57" s="41">
        <f>6+5+2+4+1+1+10+4+11+1+9+4</f>
        <v>58</v>
      </c>
      <c r="O57" s="42">
        <v>0</v>
      </c>
      <c r="P57" s="42">
        <f>5+4+9+3+8+9+1+1+2+3+1+2+7+1+1+1+1+1+3</f>
        <v>63</v>
      </c>
      <c r="Q57" s="42">
        <f t="shared" ref="Q57:Q64" si="3">SUM(D57:P57)</f>
        <v>494</v>
      </c>
    </row>
    <row r="58" spans="1:17" ht="13.5" customHeight="1">
      <c r="A58" s="36"/>
      <c r="B58" s="41" t="s">
        <v>15</v>
      </c>
      <c r="C58" s="42" t="s">
        <v>16</v>
      </c>
      <c r="D58" s="41">
        <f>5+1</f>
        <v>6</v>
      </c>
      <c r="E58" s="42">
        <f>1+3+1+1+2+9+1+1+1+9+1</f>
        <v>30</v>
      </c>
      <c r="F58" s="41">
        <f>1+1+3+2+4+8+2+10+10+9+1+1+6+1+1+1+1+1+1+1</f>
        <v>65</v>
      </c>
      <c r="G58" s="42">
        <v>0</v>
      </c>
      <c r="H58" s="41">
        <f>3+8+10+2+2+4+4+9+2+2+6+1-7</f>
        <v>46</v>
      </c>
      <c r="I58" s="42">
        <v>0</v>
      </c>
      <c r="J58" s="41">
        <f>6+1+10+2+1+2+1+9+8+1+1+4+1+9+1+2+9+9+6+6+1+1</f>
        <v>91</v>
      </c>
      <c r="K58" s="42">
        <v>0</v>
      </c>
      <c r="L58" s="41">
        <f>1+6+1+9+1+9+10+1+1+1+9+4+1+4+4+9+9+2+6+6</f>
        <v>94</v>
      </c>
      <c r="M58" s="42">
        <v>0</v>
      </c>
      <c r="N58" s="41">
        <f>6+5+2+4+1+1+10+4+11+1+9</f>
        <v>54</v>
      </c>
      <c r="O58" s="42">
        <v>0</v>
      </c>
      <c r="P58" s="42">
        <f>5+4+9+3+8+9+1+1+2+3+1+2+7+1+1+1+1+1</f>
        <v>60</v>
      </c>
      <c r="Q58" s="42">
        <f t="shared" si="3"/>
        <v>446</v>
      </c>
    </row>
    <row r="59" spans="1:17" ht="13.5" customHeight="1">
      <c r="A59" s="36"/>
      <c r="B59" s="41" t="s">
        <v>15</v>
      </c>
      <c r="C59" s="42" t="s">
        <v>16</v>
      </c>
      <c r="D59" s="41">
        <f>5+1</f>
        <v>6</v>
      </c>
      <c r="E59" s="42">
        <f>1+3+1+1+2+9+1+1+1+9+1</f>
        <v>30</v>
      </c>
      <c r="F59" s="41">
        <f>1+1+3+2+4+8+2+10+10+9+1+1+6+1+1+1+1+1+1+1</f>
        <v>65</v>
      </c>
      <c r="G59" s="42">
        <v>0</v>
      </c>
      <c r="H59" s="41">
        <f>3+8+10+2+2+4+4+9+2+2+6+1-7</f>
        <v>46</v>
      </c>
      <c r="I59" s="42">
        <v>0</v>
      </c>
      <c r="J59" s="41">
        <f>6+1+10+2+1+2+1+9+8+1+1+4+1+9+1+2+9+9+6+6+1+1</f>
        <v>91</v>
      </c>
      <c r="K59" s="42">
        <v>0</v>
      </c>
      <c r="L59" s="41">
        <f>1+6+1+9+1+9+10+1+1+1+9+4+1+4+4+9+9+2+6+6</f>
        <v>94</v>
      </c>
      <c r="M59" s="42">
        <v>0</v>
      </c>
      <c r="N59" s="41">
        <f>6+5+2+4+1+1+10+4+11+1+9</f>
        <v>54</v>
      </c>
      <c r="O59" s="42">
        <v>0</v>
      </c>
      <c r="P59" s="42">
        <f>5+4+9+3+8+9+1+1+2+3+1+2+7+1+1+1+1+1</f>
        <v>60</v>
      </c>
      <c r="Q59" s="42">
        <f t="shared" si="3"/>
        <v>446</v>
      </c>
    </row>
    <row r="60" spans="1:17" ht="13.5" customHeight="1">
      <c r="A60" s="37"/>
      <c r="B60" s="41" t="s">
        <v>15</v>
      </c>
      <c r="C60" s="42" t="s">
        <v>16</v>
      </c>
      <c r="D60" s="41">
        <f>5+1</f>
        <v>6</v>
      </c>
      <c r="E60" s="42">
        <f>1+3+1+1+2+9+1+1+1+9+1</f>
        <v>30</v>
      </c>
      <c r="F60" s="41">
        <f>1+1+3+2+4+8+2+10+10+9+1+1+6+1+1+1+1+1+1+1</f>
        <v>65</v>
      </c>
      <c r="G60" s="42">
        <v>0</v>
      </c>
      <c r="H60" s="41">
        <f>3+8+10+2+2+4+4+9+2+2+6+1-7</f>
        <v>46</v>
      </c>
      <c r="I60" s="42">
        <v>0</v>
      </c>
      <c r="J60" s="41">
        <f>6+1+10+2+1+2+1+9+8+1+1+4+1+9+1+2+9+9+6+6+1+1</f>
        <v>91</v>
      </c>
      <c r="K60" s="42">
        <v>0</v>
      </c>
      <c r="L60" s="41">
        <f>1+6+1+9+1+9+10+1+1+1+9+4+1+4+4+9+9+2+6+6</f>
        <v>94</v>
      </c>
      <c r="M60" s="42">
        <v>0</v>
      </c>
      <c r="N60" s="41">
        <f>6+5+2+4+1+1+10+4+11+1+9</f>
        <v>54</v>
      </c>
      <c r="O60" s="42">
        <v>0</v>
      </c>
      <c r="P60" s="42">
        <f>5+4+9+3+8+9+1+1+2+3+1+2+7+1+1+1+1+1</f>
        <v>60</v>
      </c>
      <c r="Q60" s="42">
        <f t="shared" si="3"/>
        <v>446</v>
      </c>
    </row>
    <row r="61" spans="1:17" ht="13.5" customHeight="1">
      <c r="A61" s="35"/>
      <c r="B61" s="41" t="s">
        <v>17</v>
      </c>
      <c r="C61" s="42" t="s">
        <v>9</v>
      </c>
      <c r="D61" s="41">
        <v>25</v>
      </c>
      <c r="E61" s="42">
        <v>51</v>
      </c>
      <c r="F61" s="41">
        <v>59</v>
      </c>
      <c r="G61" s="42">
        <v>6</v>
      </c>
      <c r="H61" s="41">
        <f>54+1</f>
        <v>55</v>
      </c>
      <c r="I61" s="42">
        <v>14</v>
      </c>
      <c r="J61" s="41">
        <v>49</v>
      </c>
      <c r="K61" s="42">
        <v>13</v>
      </c>
      <c r="L61" s="41">
        <v>46</v>
      </c>
      <c r="M61" s="42">
        <v>0</v>
      </c>
      <c r="N61" s="41">
        <v>60</v>
      </c>
      <c r="O61" s="42">
        <v>0</v>
      </c>
      <c r="P61" s="42">
        <v>29</v>
      </c>
      <c r="Q61" s="42">
        <f t="shared" si="3"/>
        <v>407</v>
      </c>
    </row>
    <row r="62" spans="1:17" ht="13.5" customHeight="1">
      <c r="A62" s="36"/>
      <c r="B62" s="41" t="s">
        <v>17</v>
      </c>
      <c r="C62" s="42" t="s">
        <v>9</v>
      </c>
      <c r="D62" s="41">
        <v>25</v>
      </c>
      <c r="E62" s="42">
        <v>51</v>
      </c>
      <c r="F62" s="41">
        <v>59</v>
      </c>
      <c r="G62" s="42">
        <v>6</v>
      </c>
      <c r="H62" s="41">
        <f>54+1</f>
        <v>55</v>
      </c>
      <c r="I62" s="42">
        <v>14</v>
      </c>
      <c r="J62" s="41">
        <v>49</v>
      </c>
      <c r="K62" s="42">
        <v>13</v>
      </c>
      <c r="L62" s="41">
        <v>46</v>
      </c>
      <c r="M62" s="42">
        <v>0</v>
      </c>
      <c r="N62" s="41">
        <v>60</v>
      </c>
      <c r="O62" s="42"/>
      <c r="P62" s="42">
        <v>29</v>
      </c>
      <c r="Q62" s="42">
        <f t="shared" si="3"/>
        <v>407</v>
      </c>
    </row>
    <row r="63" spans="1:17" ht="13.5" customHeight="1">
      <c r="A63" s="36"/>
      <c r="B63" s="41" t="s">
        <v>17</v>
      </c>
      <c r="C63" s="42" t="s">
        <v>9</v>
      </c>
      <c r="D63" s="41">
        <v>25</v>
      </c>
      <c r="E63" s="42">
        <v>51</v>
      </c>
      <c r="F63" s="41">
        <v>59</v>
      </c>
      <c r="G63" s="42">
        <v>6</v>
      </c>
      <c r="H63" s="41">
        <f>54+1</f>
        <v>55</v>
      </c>
      <c r="I63" s="42">
        <v>14</v>
      </c>
      <c r="J63" s="41">
        <v>49</v>
      </c>
      <c r="K63" s="42">
        <v>13</v>
      </c>
      <c r="L63" s="41">
        <v>46</v>
      </c>
      <c r="M63" s="42">
        <v>0</v>
      </c>
      <c r="N63" s="41">
        <v>60</v>
      </c>
      <c r="O63" s="42"/>
      <c r="P63" s="42">
        <v>29</v>
      </c>
      <c r="Q63" s="42">
        <f t="shared" si="3"/>
        <v>407</v>
      </c>
    </row>
    <row r="64" spans="1:17" ht="13.5" customHeight="1">
      <c r="A64" s="37"/>
      <c r="B64" s="41" t="s">
        <v>17</v>
      </c>
      <c r="C64" s="42" t="s">
        <v>9</v>
      </c>
      <c r="D64" s="41">
        <v>25</v>
      </c>
      <c r="E64" s="42">
        <v>51</v>
      </c>
      <c r="F64" s="41">
        <v>59</v>
      </c>
      <c r="G64" s="42">
        <v>6</v>
      </c>
      <c r="H64" s="41">
        <f>54+1</f>
        <v>55</v>
      </c>
      <c r="I64" s="42">
        <v>14</v>
      </c>
      <c r="J64" s="41">
        <v>49</v>
      </c>
      <c r="K64" s="42">
        <v>13</v>
      </c>
      <c r="L64" s="41">
        <v>46</v>
      </c>
      <c r="M64" s="42">
        <v>0</v>
      </c>
      <c r="N64" s="41">
        <v>60</v>
      </c>
      <c r="O64" s="42"/>
      <c r="P64" s="42">
        <v>29</v>
      </c>
      <c r="Q64" s="42">
        <f t="shared" si="3"/>
        <v>407</v>
      </c>
    </row>
    <row r="65" spans="1:17" ht="24" customHeight="1">
      <c r="A65" s="29"/>
      <c r="B65" s="29"/>
      <c r="C65" s="30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31" t="s">
        <v>0</v>
      </c>
      <c r="Q65" s="31">
        <f>+Q33+Q37+Q41+Q45+Q49+Q53+Q57+Q61</f>
        <v>2140</v>
      </c>
    </row>
  </sheetData>
  <mergeCells count="141">
    <mergeCell ref="B33:B36"/>
    <mergeCell ref="C33:C36"/>
    <mergeCell ref="D33:D36"/>
    <mergeCell ref="O16:P16"/>
    <mergeCell ref="A4:Q4"/>
    <mergeCell ref="A5:Q5"/>
    <mergeCell ref="K37:K40"/>
    <mergeCell ref="L37:L40"/>
    <mergeCell ref="J33:J36"/>
    <mergeCell ref="K33:K36"/>
    <mergeCell ref="L33:L36"/>
    <mergeCell ref="M33:M36"/>
    <mergeCell ref="N33:N36"/>
    <mergeCell ref="E33:E36"/>
    <mergeCell ref="F33:F36"/>
    <mergeCell ref="G33:G36"/>
    <mergeCell ref="H33:H36"/>
    <mergeCell ref="I33:I36"/>
    <mergeCell ref="B37:B40"/>
    <mergeCell ref="C37:C40"/>
    <mergeCell ref="D37:D40"/>
    <mergeCell ref="E37:E40"/>
    <mergeCell ref="F37:F40"/>
    <mergeCell ref="G37:G40"/>
    <mergeCell ref="P37:P40"/>
    <mergeCell ref="Q37:Q40"/>
    <mergeCell ref="O33:O36"/>
    <mergeCell ref="P33:P36"/>
    <mergeCell ref="Q33:Q36"/>
    <mergeCell ref="D41:D44"/>
    <mergeCell ref="E41:E44"/>
    <mergeCell ref="F41:F44"/>
    <mergeCell ref="G41:G44"/>
    <mergeCell ref="H41:H44"/>
    <mergeCell ref="I41:I44"/>
    <mergeCell ref="J41:J44"/>
    <mergeCell ref="K41:K44"/>
    <mergeCell ref="L41:L44"/>
    <mergeCell ref="H37:H40"/>
    <mergeCell ref="I37:I40"/>
    <mergeCell ref="J37:J40"/>
    <mergeCell ref="M41:M44"/>
    <mergeCell ref="N41:N44"/>
    <mergeCell ref="O41:O44"/>
    <mergeCell ref="M37:M40"/>
    <mergeCell ref="N37:N40"/>
    <mergeCell ref="O37:O40"/>
    <mergeCell ref="B49:B52"/>
    <mergeCell ref="C49:C52"/>
    <mergeCell ref="D49:D52"/>
    <mergeCell ref="E49:E52"/>
    <mergeCell ref="N45:N48"/>
    <mergeCell ref="O45:O48"/>
    <mergeCell ref="P45:P48"/>
    <mergeCell ref="Q45:Q48"/>
    <mergeCell ref="P41:P44"/>
    <mergeCell ref="Q41:Q44"/>
    <mergeCell ref="B45:B48"/>
    <mergeCell ref="C45:C48"/>
    <mergeCell ref="D45:D48"/>
    <mergeCell ref="E45:E48"/>
    <mergeCell ref="F45:F48"/>
    <mergeCell ref="G45:G48"/>
    <mergeCell ref="H45:H48"/>
    <mergeCell ref="I45:I48"/>
    <mergeCell ref="J45:J48"/>
    <mergeCell ref="K45:K48"/>
    <mergeCell ref="L45:L48"/>
    <mergeCell ref="M45:M48"/>
    <mergeCell ref="B41:B44"/>
    <mergeCell ref="C41:C44"/>
    <mergeCell ref="K53:K56"/>
    <mergeCell ref="L53:L56"/>
    <mergeCell ref="M53:M56"/>
    <mergeCell ref="K49:K52"/>
    <mergeCell ref="L49:L52"/>
    <mergeCell ref="M49:M52"/>
    <mergeCell ref="N49:N52"/>
    <mergeCell ref="O49:O52"/>
    <mergeCell ref="F49:F52"/>
    <mergeCell ref="G49:G52"/>
    <mergeCell ref="H49:H52"/>
    <mergeCell ref="I49:I52"/>
    <mergeCell ref="J49:J52"/>
    <mergeCell ref="B53:B56"/>
    <mergeCell ref="C53:C56"/>
    <mergeCell ref="D53:D56"/>
    <mergeCell ref="E53:E56"/>
    <mergeCell ref="F53:F56"/>
    <mergeCell ref="G53:G56"/>
    <mergeCell ref="H53:H56"/>
    <mergeCell ref="I53:I56"/>
    <mergeCell ref="J53:J56"/>
    <mergeCell ref="A61:A64"/>
    <mergeCell ref="N61:N64"/>
    <mergeCell ref="O61:O64"/>
    <mergeCell ref="P61:P64"/>
    <mergeCell ref="Q61:Q64"/>
    <mergeCell ref="P57:P60"/>
    <mergeCell ref="Q57:Q60"/>
    <mergeCell ref="B61:B64"/>
    <mergeCell ref="C61:C64"/>
    <mergeCell ref="D61:D64"/>
    <mergeCell ref="E61:E64"/>
    <mergeCell ref="F61:F64"/>
    <mergeCell ref="G61:G64"/>
    <mergeCell ref="H61:H64"/>
    <mergeCell ref="I61:I64"/>
    <mergeCell ref="J61:J64"/>
    <mergeCell ref="K61:K64"/>
    <mergeCell ref="L61:L64"/>
    <mergeCell ref="M61:M64"/>
    <mergeCell ref="K57:K60"/>
    <mergeCell ref="L57:L60"/>
    <mergeCell ref="M57:M60"/>
    <mergeCell ref="N57:N60"/>
    <mergeCell ref="O57:O60"/>
    <mergeCell ref="A30:Q30"/>
    <mergeCell ref="A31:Q31"/>
    <mergeCell ref="A33:A36"/>
    <mergeCell ref="A37:A40"/>
    <mergeCell ref="A41:A44"/>
    <mergeCell ref="A45:A48"/>
    <mergeCell ref="A49:A52"/>
    <mergeCell ref="A53:A56"/>
    <mergeCell ref="A57:A60"/>
    <mergeCell ref="F57:F60"/>
    <mergeCell ref="G57:G60"/>
    <mergeCell ref="H57:H60"/>
    <mergeCell ref="I57:I60"/>
    <mergeCell ref="J57:J60"/>
    <mergeCell ref="B57:B60"/>
    <mergeCell ref="C57:C60"/>
    <mergeCell ref="D57:D60"/>
    <mergeCell ref="E57:E60"/>
    <mergeCell ref="N53:N56"/>
    <mergeCell ref="O53:O56"/>
    <mergeCell ref="P53:P56"/>
    <mergeCell ref="Q53:Q56"/>
    <mergeCell ref="P49:P52"/>
    <mergeCell ref="Q49:Q52"/>
  </mergeCells>
  <pageMargins left="0" right="0" top="0" bottom="0" header="0" footer="0"/>
  <pageSetup paperSize="9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39"/>
  <sheetViews>
    <sheetView workbookViewId="0">
      <pane ySplit="3" topLeftCell="A4" activePane="bottomLeft" state="frozen"/>
      <selection pane="bottomLeft" activeCell="C24" sqref="C24"/>
    </sheetView>
  </sheetViews>
  <sheetFormatPr defaultColWidth="9.140625" defaultRowHeight="15.75"/>
  <cols>
    <col min="1" max="1" width="21.85546875" style="19" customWidth="1"/>
    <col min="2" max="2" width="13.28515625" style="19" bestFit="1" customWidth="1"/>
    <col min="3" max="4" width="12.140625" style="19" customWidth="1"/>
    <col min="5" max="15" width="7.7109375" style="19" customWidth="1"/>
    <col min="16" max="16" width="13.7109375" style="15" bestFit="1" customWidth="1"/>
    <col min="17" max="16384" width="9.140625" style="19"/>
  </cols>
  <sheetData>
    <row r="2" spans="1:16" s="11" customFormat="1" ht="26.25" customHeight="1">
      <c r="A2" s="51" t="s">
        <v>51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3"/>
    </row>
    <row r="3" spans="1:16" s="15" customFormat="1" ht="30" customHeight="1">
      <c r="A3" s="12" t="s">
        <v>32</v>
      </c>
      <c r="B3" s="13" t="s">
        <v>33</v>
      </c>
      <c r="C3" s="13" t="s">
        <v>1</v>
      </c>
      <c r="D3" s="13" t="s">
        <v>34</v>
      </c>
      <c r="E3" s="13">
        <v>39</v>
      </c>
      <c r="F3" s="13">
        <v>40</v>
      </c>
      <c r="G3" s="13">
        <v>41</v>
      </c>
      <c r="H3" s="13" t="s">
        <v>35</v>
      </c>
      <c r="I3" s="13">
        <v>42</v>
      </c>
      <c r="J3" s="13" t="s">
        <v>36</v>
      </c>
      <c r="K3" s="13">
        <v>43</v>
      </c>
      <c r="L3" s="13" t="s">
        <v>37</v>
      </c>
      <c r="M3" s="13">
        <v>44</v>
      </c>
      <c r="N3" s="13">
        <v>45</v>
      </c>
      <c r="O3" s="13">
        <v>46</v>
      </c>
      <c r="P3" s="14" t="s">
        <v>38</v>
      </c>
    </row>
    <row r="4" spans="1:16" ht="26.25" customHeight="1">
      <c r="A4" s="54" t="s">
        <v>39</v>
      </c>
      <c r="B4" s="16" t="s">
        <v>24</v>
      </c>
      <c r="C4" s="55" t="s">
        <v>40</v>
      </c>
      <c r="D4" s="55"/>
      <c r="E4" s="16"/>
      <c r="F4" s="16"/>
      <c r="G4" s="16"/>
      <c r="H4" s="16"/>
      <c r="I4" s="16"/>
      <c r="J4" s="16"/>
      <c r="K4" s="16"/>
      <c r="L4" s="16"/>
      <c r="M4" s="16">
        <v>6</v>
      </c>
      <c r="N4" s="16">
        <v>2</v>
      </c>
      <c r="O4" s="17">
        <v>1</v>
      </c>
      <c r="P4" s="18">
        <f t="shared" ref="P4:P19" si="0">SUM(E4:O4)</f>
        <v>9</v>
      </c>
    </row>
    <row r="5" spans="1:16" ht="26.25" customHeight="1">
      <c r="A5" s="50"/>
      <c r="B5" s="20" t="s">
        <v>24</v>
      </c>
      <c r="C5" s="49" t="s">
        <v>41</v>
      </c>
      <c r="D5" s="49"/>
      <c r="E5" s="20"/>
      <c r="F5" s="20">
        <v>1</v>
      </c>
      <c r="G5" s="20">
        <v>1</v>
      </c>
      <c r="H5" s="20"/>
      <c r="I5" s="20"/>
      <c r="J5" s="20">
        <v>2</v>
      </c>
      <c r="K5" s="20">
        <v>2</v>
      </c>
      <c r="L5" s="20">
        <v>2</v>
      </c>
      <c r="M5" s="20"/>
      <c r="N5" s="20"/>
      <c r="O5" s="21"/>
      <c r="P5" s="22">
        <f t="shared" si="0"/>
        <v>8</v>
      </c>
    </row>
    <row r="6" spans="1:16" ht="26.25" customHeight="1">
      <c r="A6" s="50"/>
      <c r="B6" s="20" t="s">
        <v>9</v>
      </c>
      <c r="C6" s="49" t="s">
        <v>40</v>
      </c>
      <c r="D6" s="49"/>
      <c r="E6" s="20">
        <v>1</v>
      </c>
      <c r="F6" s="20"/>
      <c r="G6" s="20">
        <v>5</v>
      </c>
      <c r="H6" s="20">
        <v>9</v>
      </c>
      <c r="I6" s="20">
        <v>12</v>
      </c>
      <c r="J6" s="20">
        <v>9</v>
      </c>
      <c r="K6" s="20">
        <v>2</v>
      </c>
      <c r="L6" s="20"/>
      <c r="M6" s="20"/>
      <c r="N6" s="20">
        <f>7+9</f>
        <v>16</v>
      </c>
      <c r="O6" s="21">
        <v>12</v>
      </c>
      <c r="P6" s="22">
        <f t="shared" si="0"/>
        <v>66</v>
      </c>
    </row>
    <row r="7" spans="1:16" ht="26.25" customHeight="1">
      <c r="A7" s="48"/>
      <c r="B7" s="20" t="s">
        <v>9</v>
      </c>
      <c r="C7" s="49" t="s">
        <v>2</v>
      </c>
      <c r="D7" s="49"/>
      <c r="E7" s="20"/>
      <c r="F7" s="20">
        <v>1</v>
      </c>
      <c r="G7" s="20"/>
      <c r="H7" s="20"/>
      <c r="I7" s="20">
        <v>1</v>
      </c>
      <c r="J7" s="20"/>
      <c r="K7" s="20">
        <v>1</v>
      </c>
      <c r="L7" s="20"/>
      <c r="M7" s="20"/>
      <c r="N7" s="20"/>
      <c r="O7" s="21"/>
      <c r="P7" s="22">
        <f t="shared" si="0"/>
        <v>3</v>
      </c>
    </row>
    <row r="8" spans="1:16" ht="26.25" customHeight="1">
      <c r="A8" s="47" t="s">
        <v>29</v>
      </c>
      <c r="B8" s="20" t="s">
        <v>7</v>
      </c>
      <c r="C8" s="49" t="s">
        <v>42</v>
      </c>
      <c r="D8" s="49"/>
      <c r="E8" s="20"/>
      <c r="F8" s="20"/>
      <c r="G8" s="20"/>
      <c r="H8" s="20"/>
      <c r="I8" s="20">
        <v>3</v>
      </c>
      <c r="J8" s="20"/>
      <c r="K8" s="20">
        <v>6</v>
      </c>
      <c r="L8" s="20"/>
      <c r="M8" s="20"/>
      <c r="N8" s="20"/>
      <c r="O8" s="21"/>
      <c r="P8" s="22">
        <f t="shared" si="0"/>
        <v>9</v>
      </c>
    </row>
    <row r="9" spans="1:16" ht="26.25" customHeight="1">
      <c r="A9" s="50"/>
      <c r="B9" s="20" t="s">
        <v>22</v>
      </c>
      <c r="C9" s="49" t="s">
        <v>43</v>
      </c>
      <c r="D9" s="49"/>
      <c r="E9" s="20">
        <f>9+4+4</f>
        <v>17</v>
      </c>
      <c r="F9" s="20">
        <v>1</v>
      </c>
      <c r="G9" s="20">
        <v>3</v>
      </c>
      <c r="H9" s="20"/>
      <c r="I9" s="20">
        <v>2</v>
      </c>
      <c r="J9" s="20"/>
      <c r="K9" s="20">
        <v>1</v>
      </c>
      <c r="L9" s="20"/>
      <c r="M9" s="20"/>
      <c r="N9" s="20"/>
      <c r="O9" s="21"/>
      <c r="P9" s="22">
        <f t="shared" si="0"/>
        <v>24</v>
      </c>
    </row>
    <row r="10" spans="1:16" ht="26.25" customHeight="1">
      <c r="A10" s="50"/>
      <c r="B10" s="20" t="s">
        <v>44</v>
      </c>
      <c r="C10" s="49" t="s">
        <v>45</v>
      </c>
      <c r="D10" s="49"/>
      <c r="E10" s="20">
        <v>1</v>
      </c>
      <c r="F10" s="20">
        <v>1</v>
      </c>
      <c r="G10" s="20">
        <v>1</v>
      </c>
      <c r="H10" s="20"/>
      <c r="I10" s="20">
        <v>2</v>
      </c>
      <c r="J10" s="20"/>
      <c r="K10" s="20">
        <v>1</v>
      </c>
      <c r="L10" s="20"/>
      <c r="M10" s="20">
        <v>1</v>
      </c>
      <c r="N10" s="20">
        <v>1</v>
      </c>
      <c r="O10" s="21">
        <v>1</v>
      </c>
      <c r="P10" s="22">
        <f t="shared" si="0"/>
        <v>9</v>
      </c>
    </row>
    <row r="11" spans="1:16" ht="26.25" customHeight="1">
      <c r="A11" s="48"/>
      <c r="B11" s="20" t="s">
        <v>22</v>
      </c>
      <c r="C11" s="49" t="s">
        <v>2</v>
      </c>
      <c r="D11" s="49"/>
      <c r="E11" s="20"/>
      <c r="F11" s="20"/>
      <c r="G11" s="20"/>
      <c r="H11" s="20"/>
      <c r="I11" s="20"/>
      <c r="J11" s="20"/>
      <c r="K11" s="20">
        <v>3</v>
      </c>
      <c r="L11" s="20"/>
      <c r="M11" s="20">
        <v>3</v>
      </c>
      <c r="N11" s="20">
        <v>2</v>
      </c>
      <c r="O11" s="21">
        <v>1</v>
      </c>
      <c r="P11" s="22">
        <f t="shared" si="0"/>
        <v>9</v>
      </c>
    </row>
    <row r="12" spans="1:16" ht="26.25" customHeight="1">
      <c r="A12" s="47" t="s">
        <v>29</v>
      </c>
      <c r="B12" s="20" t="s">
        <v>12</v>
      </c>
      <c r="C12" s="49" t="s">
        <v>2</v>
      </c>
      <c r="D12" s="49"/>
      <c r="E12" s="20">
        <v>8</v>
      </c>
      <c r="F12" s="20">
        <f>7+2</f>
        <v>9</v>
      </c>
      <c r="G12" s="20">
        <v>4</v>
      </c>
      <c r="H12" s="20"/>
      <c r="I12" s="20">
        <f>18+3+31</f>
        <v>52</v>
      </c>
      <c r="J12" s="20"/>
      <c r="K12" s="20">
        <f>28+9+10</f>
        <v>47</v>
      </c>
      <c r="L12" s="20"/>
      <c r="M12" s="20">
        <f>7+9+16</f>
        <v>32</v>
      </c>
      <c r="N12" s="20">
        <f>18+9+5+11</f>
        <v>43</v>
      </c>
      <c r="O12" s="21">
        <f>4+5</f>
        <v>9</v>
      </c>
      <c r="P12" s="22">
        <f t="shared" si="0"/>
        <v>204</v>
      </c>
    </row>
    <row r="13" spans="1:16" ht="26.25" customHeight="1">
      <c r="A13" s="48"/>
      <c r="B13" s="20" t="s">
        <v>19</v>
      </c>
      <c r="C13" s="49" t="s">
        <v>2</v>
      </c>
      <c r="D13" s="49"/>
      <c r="E13" s="20"/>
      <c r="F13" s="20">
        <v>8</v>
      </c>
      <c r="G13" s="20"/>
      <c r="H13" s="20"/>
      <c r="I13" s="20">
        <v>9</v>
      </c>
      <c r="J13" s="20"/>
      <c r="K13" s="20">
        <f>9+5</f>
        <v>14</v>
      </c>
      <c r="L13" s="20"/>
      <c r="M13" s="20"/>
      <c r="N13" s="20">
        <f>9+4</f>
        <v>13</v>
      </c>
      <c r="O13" s="21"/>
      <c r="P13" s="22">
        <f t="shared" si="0"/>
        <v>44</v>
      </c>
    </row>
    <row r="14" spans="1:16" ht="26.25" customHeight="1">
      <c r="A14" s="47" t="s">
        <v>29</v>
      </c>
      <c r="B14" s="20" t="s">
        <v>14</v>
      </c>
      <c r="C14" s="49" t="s">
        <v>42</v>
      </c>
      <c r="D14" s="49"/>
      <c r="E14" s="20"/>
      <c r="F14" s="20">
        <v>5</v>
      </c>
      <c r="G14" s="20">
        <f>6+4</f>
        <v>10</v>
      </c>
      <c r="H14" s="20"/>
      <c r="I14" s="20">
        <f>7+3</f>
        <v>10</v>
      </c>
      <c r="J14" s="20"/>
      <c r="K14" s="20">
        <f>1+4</f>
        <v>5</v>
      </c>
      <c r="L14" s="20"/>
      <c r="M14" s="20">
        <f>8+4</f>
        <v>12</v>
      </c>
      <c r="N14" s="20">
        <f>3+5</f>
        <v>8</v>
      </c>
      <c r="O14" s="21">
        <v>4</v>
      </c>
      <c r="P14" s="22">
        <f t="shared" si="0"/>
        <v>54</v>
      </c>
    </row>
    <row r="15" spans="1:16" ht="26.25" customHeight="1">
      <c r="A15" s="48"/>
      <c r="B15" s="20" t="s">
        <v>14</v>
      </c>
      <c r="C15" s="49" t="s">
        <v>2</v>
      </c>
      <c r="D15" s="49"/>
      <c r="E15" s="20"/>
      <c r="F15" s="20">
        <v>3</v>
      </c>
      <c r="G15" s="20">
        <v>1</v>
      </c>
      <c r="H15" s="20"/>
      <c r="I15" s="20">
        <v>9</v>
      </c>
      <c r="J15" s="20"/>
      <c r="K15" s="20">
        <v>3</v>
      </c>
      <c r="L15" s="20"/>
      <c r="M15" s="20"/>
      <c r="N15" s="20"/>
      <c r="O15" s="21"/>
      <c r="P15" s="22">
        <f t="shared" si="0"/>
        <v>16</v>
      </c>
    </row>
    <row r="16" spans="1:16" ht="26.25" customHeight="1">
      <c r="A16" s="47" t="s">
        <v>46</v>
      </c>
      <c r="B16" s="20" t="s">
        <v>47</v>
      </c>
      <c r="C16" s="49" t="s">
        <v>2</v>
      </c>
      <c r="D16" s="49"/>
      <c r="E16" s="20"/>
      <c r="F16" s="20">
        <v>1</v>
      </c>
      <c r="G16" s="20">
        <v>1</v>
      </c>
      <c r="H16" s="20"/>
      <c r="I16" s="20">
        <v>2</v>
      </c>
      <c r="J16" s="20"/>
      <c r="K16" s="20">
        <v>1</v>
      </c>
      <c r="L16" s="20"/>
      <c r="M16" s="20">
        <v>1</v>
      </c>
      <c r="N16" s="20">
        <v>1</v>
      </c>
      <c r="O16" s="21">
        <v>10</v>
      </c>
      <c r="P16" s="22">
        <f t="shared" si="0"/>
        <v>17</v>
      </c>
    </row>
    <row r="17" spans="1:16" ht="26.25" customHeight="1">
      <c r="A17" s="50"/>
      <c r="B17" s="20" t="s">
        <v>48</v>
      </c>
      <c r="C17" s="49" t="s">
        <v>2</v>
      </c>
      <c r="D17" s="49"/>
      <c r="E17" s="20">
        <v>8</v>
      </c>
      <c r="F17" s="20">
        <v>2</v>
      </c>
      <c r="G17" s="20">
        <v>2</v>
      </c>
      <c r="H17" s="20"/>
      <c r="I17" s="20">
        <v>4</v>
      </c>
      <c r="J17" s="20"/>
      <c r="K17" s="20">
        <v>4</v>
      </c>
      <c r="L17" s="20"/>
      <c r="M17" s="20">
        <v>3</v>
      </c>
      <c r="N17" s="20">
        <v>4</v>
      </c>
      <c r="O17" s="21">
        <f>14+11</f>
        <v>25</v>
      </c>
      <c r="P17" s="22">
        <f t="shared" si="0"/>
        <v>52</v>
      </c>
    </row>
    <row r="18" spans="1:16" ht="26.25" customHeight="1">
      <c r="A18" s="50"/>
      <c r="B18" s="20" t="s">
        <v>49</v>
      </c>
      <c r="C18" s="49" t="s">
        <v>2</v>
      </c>
      <c r="D18" s="49"/>
      <c r="E18" s="20">
        <v>16</v>
      </c>
      <c r="F18" s="20">
        <v>46</v>
      </c>
      <c r="G18" s="20">
        <f>6+55</f>
        <v>61</v>
      </c>
      <c r="H18" s="20">
        <v>1</v>
      </c>
      <c r="I18" s="20">
        <f>2+93</f>
        <v>95</v>
      </c>
      <c r="J18" s="20"/>
      <c r="K18" s="20">
        <v>85</v>
      </c>
      <c r="L18" s="20"/>
      <c r="M18" s="20">
        <v>66</v>
      </c>
      <c r="N18" s="20">
        <v>67</v>
      </c>
      <c r="O18" s="21">
        <f>9+41</f>
        <v>50</v>
      </c>
      <c r="P18" s="22">
        <f t="shared" si="0"/>
        <v>487</v>
      </c>
    </row>
    <row r="19" spans="1:16" ht="26.25" customHeight="1">
      <c r="A19" s="48"/>
      <c r="B19" s="20" t="s">
        <v>49</v>
      </c>
      <c r="C19" s="49" t="s">
        <v>40</v>
      </c>
      <c r="D19" s="49"/>
      <c r="E19" s="20"/>
      <c r="F19" s="20">
        <v>6</v>
      </c>
      <c r="G19" s="20">
        <f>2+3</f>
        <v>5</v>
      </c>
      <c r="H19" s="20"/>
      <c r="I19" s="20">
        <f>4+14</f>
        <v>18</v>
      </c>
      <c r="J19" s="20"/>
      <c r="K19" s="20">
        <f>1+4</f>
        <v>5</v>
      </c>
      <c r="L19" s="20"/>
      <c r="M19" s="20">
        <f>1+6</f>
        <v>7</v>
      </c>
      <c r="N19" s="20">
        <v>2</v>
      </c>
      <c r="O19" s="21"/>
      <c r="P19" s="22">
        <f t="shared" si="0"/>
        <v>43</v>
      </c>
    </row>
    <row r="20" spans="1:16" s="15" customFormat="1" ht="26.25" customHeight="1">
      <c r="A20" s="45" t="s">
        <v>50</v>
      </c>
      <c r="B20" s="46"/>
      <c r="C20" s="46"/>
      <c r="D20" s="46"/>
      <c r="E20" s="23">
        <f t="shared" ref="E20:P20" si="1">SUM(E4:E19)</f>
        <v>51</v>
      </c>
      <c r="F20" s="23">
        <f t="shared" si="1"/>
        <v>84</v>
      </c>
      <c r="G20" s="23">
        <f t="shared" si="1"/>
        <v>94</v>
      </c>
      <c r="H20" s="23">
        <f t="shared" si="1"/>
        <v>10</v>
      </c>
      <c r="I20" s="23">
        <f t="shared" si="1"/>
        <v>219</v>
      </c>
      <c r="J20" s="23">
        <f t="shared" si="1"/>
        <v>11</v>
      </c>
      <c r="K20" s="23">
        <f t="shared" si="1"/>
        <v>180</v>
      </c>
      <c r="L20" s="23">
        <f t="shared" si="1"/>
        <v>2</v>
      </c>
      <c r="M20" s="23">
        <f t="shared" si="1"/>
        <v>131</v>
      </c>
      <c r="N20" s="23">
        <f t="shared" si="1"/>
        <v>159</v>
      </c>
      <c r="O20" s="23">
        <f t="shared" si="1"/>
        <v>113</v>
      </c>
      <c r="P20" s="24">
        <f t="shared" si="1"/>
        <v>1054</v>
      </c>
    </row>
    <row r="21" spans="1:16" ht="26.25" customHeight="1"/>
    <row r="22" spans="1:16" ht="21" customHeight="1"/>
    <row r="23" spans="1:16" ht="21" customHeight="1"/>
    <row r="24" spans="1:16" ht="21" customHeight="1"/>
    <row r="25" spans="1:16" ht="21" customHeight="1"/>
    <row r="26" spans="1:16" ht="21" customHeight="1"/>
    <row r="27" spans="1:16" ht="21" customHeight="1"/>
    <row r="28" spans="1:16" ht="21" customHeight="1"/>
    <row r="29" spans="1:16" ht="21" customHeight="1"/>
    <row r="30" spans="1:16" ht="21" customHeight="1"/>
    <row r="31" spans="1:16" ht="21" customHeight="1"/>
    <row r="32" spans="1:16" ht="21" customHeight="1"/>
    <row r="33" ht="21" customHeight="1"/>
    <row r="34" ht="21" customHeight="1"/>
    <row r="35" ht="21" customHeight="1"/>
    <row r="36" ht="21" customHeight="1"/>
    <row r="37" ht="21" customHeight="1"/>
    <row r="38" ht="21" customHeight="1"/>
    <row r="39" ht="21" customHeight="1"/>
  </sheetData>
  <autoFilter ref="A3:Y20"/>
  <mergeCells count="23">
    <mergeCell ref="A12:A13"/>
    <mergeCell ref="C12:D12"/>
    <mergeCell ref="C13:D13"/>
    <mergeCell ref="A2:P2"/>
    <mergeCell ref="A4:A7"/>
    <mergeCell ref="C4:D4"/>
    <mergeCell ref="C5:D5"/>
    <mergeCell ref="C6:D6"/>
    <mergeCell ref="C7:D7"/>
    <mergeCell ref="A8:A11"/>
    <mergeCell ref="C8:D8"/>
    <mergeCell ref="C9:D9"/>
    <mergeCell ref="C10:D10"/>
    <mergeCell ref="C11:D11"/>
    <mergeCell ref="A20:D20"/>
    <mergeCell ref="A14:A15"/>
    <mergeCell ref="C14:D14"/>
    <mergeCell ref="C15:D15"/>
    <mergeCell ref="A16:A19"/>
    <mergeCell ref="C16:D16"/>
    <mergeCell ref="C17:D17"/>
    <mergeCell ref="C18:D18"/>
    <mergeCell ref="C19:D19"/>
  </mergeCells>
  <pageMargins left="0.24" right="0.16" top="0.2" bottom="0.2" header="0.2" footer="0.2"/>
  <pageSetup paperSize="9" scale="5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GEOX boots</vt:lpstr>
      <vt:lpstr>GEOX 1</vt:lpstr>
      <vt:lpstr>'GEOX 1'!Print_Titles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2020-07-17T14:36:40Z</dcterms:modified>
</cp:coreProperties>
</file>